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2.xml" ContentType="application/vnd.openxmlformats-officedocument.spreadsheetml.pivotTable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3.xml" ContentType="application/vnd.openxmlformats-officedocument.spreadsheetml.pivotTable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4.xml" ContentType="application/vnd.openxmlformats-officedocument.spreadsheetml.pivotTable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pivotTables/pivotTable5.xml" ContentType="application/vnd.openxmlformats-officedocument.spreadsheetml.pivotTab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6.xml" ContentType="application/vnd.openxmlformats-officedocument.spreadsheetml.pivot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filterPrivacy="1"/>
  <bookViews>
    <workbookView xWindow="0" yWindow="0" windowWidth="5550" windowHeight="10980" firstSheet="17" activeTab="19" xr2:uid="{00000000-000D-0000-FFFF-FFFF00000000}"/>
  </bookViews>
  <sheets>
    <sheet name="Инвест показатели" sheetId="18" r:id="rId1"/>
    <sheet name="Прибыль" sheetId="24" r:id="rId2"/>
    <sheet name="Анализ ТБУ" sheetId="16" r:id="rId3"/>
    <sheet name="ДДС" sheetId="8" r:id="rId4"/>
    <sheet name="Анализ чувствительности" sheetId="31" r:id="rId5"/>
    <sheet name="ДДС_Сценарий_2" sheetId="30" r:id="rId6"/>
    <sheet name="Услуги и цены" sheetId="15" state="hidden" r:id="rId7"/>
    <sheet name="Настройки" sheetId="2" r:id="rId8"/>
    <sheet name="Сезонность" sheetId="3" r:id="rId9"/>
    <sheet name="Пропускная способность" sheetId="1" state="hidden" r:id="rId10"/>
    <sheet name="Персонал" sheetId="9" r:id="rId11"/>
    <sheet name="Заёмные средства" sheetId="22" r:id="rId12"/>
    <sheet name="Постоянные затраты" sheetId="6" r:id="rId13"/>
    <sheet name="Инвестиции" sheetId="4" r:id="rId14"/>
    <sheet name="График проекта" sheetId="10" r:id="rId15"/>
    <sheet name="Расчёт.ПрибылиВсё" sheetId="33" r:id="rId16"/>
    <sheet name="Расчёт.ПрибылиПоПодразделениям" sheetId="23" r:id="rId17"/>
    <sheet name="РасшифровкаЗатрат" sheetId="28" r:id="rId18"/>
    <sheet name="План продаж" sheetId="14" r:id="rId19"/>
    <sheet name="План продаж.Кол-во" sheetId="29" r:id="rId20"/>
    <sheet name="Расчёт.Окупаемости" sheetId="21" r:id="rId21"/>
    <sheet name="Расчёт.Окупаемости_АнализЧув" sheetId="32" r:id="rId22"/>
    <sheet name="Расчёт.Постоянные расходы" sheetId="13" r:id="rId23"/>
    <sheet name="Скидки и клиентская база" sheetId="11" state="hidden" r:id="rId24"/>
    <sheet name="Вх.Данные.Доход" sheetId="25" r:id="rId25"/>
    <sheet name="Вх.Данные.Ассортимент" sheetId="27" r:id="rId26"/>
    <sheet name="РазбивкаДохода" sheetId="26" r:id="rId27"/>
  </sheets>
  <externalReferences>
    <externalReference r:id="rId28"/>
  </externalReferences>
  <definedNames>
    <definedName name="_xlnm._FilterDatabase" localSheetId="10" hidden="1">Персонал!$B$5:$M$20</definedName>
    <definedName name="finminus">'[1]Займы и кредиты'!$E$11</definedName>
    <definedName name="monthOkup">[1]ПДДС!$K$28</definedName>
    <definedName name="yearOkup">[1]ПДДС!$J$28</definedName>
    <definedName name="База_Реализация" localSheetId="4">'Пропускная способность'!#REF!</definedName>
    <definedName name="База_Реализация" localSheetId="19">'Пропускная способность'!#REF!</definedName>
    <definedName name="База_Реализация" localSheetId="21">'Пропускная способность'!#REF!</definedName>
    <definedName name="База_Реализация" localSheetId="15">'Пропускная способность'!#REF!</definedName>
    <definedName name="База_Реализация" localSheetId="16">'Пропускная способность'!#REF!</definedName>
    <definedName name="База_Реализация" localSheetId="17">'Пропускная способность'!#REF!</definedName>
    <definedName name="База_Реализация">'Пропускная способность'!#REF!</definedName>
    <definedName name="ДатаНачала">Настройки!$I$7</definedName>
    <definedName name="КлМастер" localSheetId="4">Справочник.Сценарии[[#All],[Столбец1]]</definedName>
    <definedName name="КлМастер" localSheetId="19">Справочник.Сценарии[[#All],[Столбец1]]</definedName>
    <definedName name="КлМастер" localSheetId="21">Справочник.Сценарии[[#All],[Столбец1]]</definedName>
    <definedName name="КлМастер" localSheetId="15">Справочник.Сценарии[[#All],[Столбец1]]</definedName>
    <definedName name="КлМастер" localSheetId="17">Справочник.Сценарии[[#All],[Столбец1]]</definedName>
    <definedName name="КлМастер">Справочник.Сценарии[[#All],[Столбец1]]</definedName>
    <definedName name="Коэф.Маржа">'Пропускная способность'!$D$11</definedName>
    <definedName name="Коэф_Сценария">Настройки!$H$23:$H$26</definedName>
    <definedName name="Кэф_Сезонности">Сезонность!$D$6:$D$10</definedName>
    <definedName name="Маржа">'Пропускная способность'!$D$10</definedName>
    <definedName name="Нстр.Скидка">Настройки!$I$14</definedName>
    <definedName name="Нстр_Сценарий">Настройки!$I$18</definedName>
    <definedName name="прцПремия">Настройки!$I$11</definedName>
    <definedName name="Сезонность">Сезонность!$C$6:$C$10</definedName>
    <definedName name="События">'График проекта'!$K$6:$K$14</definedName>
    <definedName name="Ср.Чек">'Пропускная способность'!$D$9</definedName>
    <definedName name="СтавкаДисконт">Настройки!$I$20</definedName>
    <definedName name="Сценарии">Настройки!$G$23:$G$26</definedName>
    <definedName name="ЧислоВизитов">'Скидки и клиентская база'!$Y$14</definedName>
    <definedName name="чувВП">'Анализ чувствительности'!$C$9</definedName>
    <definedName name="чувИнв">'Анализ чувствительности'!$C$8/100</definedName>
    <definedName name="чувОпр">'Анализ чувствительности'!$C$10</definedName>
  </definedNames>
  <calcPr calcId="171027"/>
  <pivotCaches>
    <pivotCache cacheId="6" r:id="rId29"/>
    <pivotCache cacheId="7" r:id="rId30"/>
    <pivotCache cacheId="8" r:id="rId31"/>
    <pivotCache cacheId="9" r:id="rId32"/>
    <pivotCache cacheId="10" r:id="rId33"/>
    <pivotCache cacheId="11" r:id="rId34"/>
  </pivotCaches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29" l="1"/>
  <c r="Q27" i="29"/>
  <c r="R27" i="29"/>
  <c r="I20" i="6"/>
  <c r="H20" i="6"/>
  <c r="G20" i="6"/>
  <c r="F20" i="6" s="1"/>
  <c r="O59" i="21" l="1"/>
  <c r="O60" i="21"/>
  <c r="O61" i="21"/>
  <c r="O62" i="21"/>
  <c r="O63" i="21"/>
  <c r="O64" i="21"/>
  <c r="O65" i="21"/>
  <c r="O66" i="21"/>
  <c r="O67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8" i="21"/>
  <c r="L9" i="21"/>
  <c r="L10" i="21"/>
  <c r="L11" i="21"/>
  <c r="L12" i="21"/>
  <c r="L13" i="21"/>
  <c r="L14" i="21"/>
  <c r="L15" i="21"/>
  <c r="L16" i="21"/>
  <c r="L7" i="21"/>
  <c r="L5" i="21"/>
  <c r="M5" i="21" s="1"/>
  <c r="N5" i="21" s="1"/>
  <c r="O5" i="21" s="1"/>
  <c r="C5" i="21"/>
  <c r="D5" i="21" s="1"/>
  <c r="E5" i="21" s="1"/>
  <c r="F5" i="21" s="1"/>
  <c r="G5" i="21" s="1"/>
  <c r="H5" i="21" s="1"/>
  <c r="I5" i="21" s="1"/>
  <c r="J5" i="21" s="1"/>
  <c r="K5" i="21" s="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12" i="21"/>
  <c r="O13" i="21"/>
  <c r="O14" i="21"/>
  <c r="O15" i="21"/>
  <c r="O16" i="21"/>
  <c r="O17" i="21"/>
  <c r="O18" i="21"/>
  <c r="O19" i="21"/>
  <c r="O20" i="21"/>
  <c r="O8" i="21"/>
  <c r="O9" i="21"/>
  <c r="O10" i="21"/>
  <c r="O11" i="21"/>
  <c r="O7" i="21"/>
  <c r="C14" i="30"/>
  <c r="D14" i="30"/>
  <c r="E14" i="30"/>
  <c r="F14" i="30"/>
  <c r="G14" i="30"/>
  <c r="H14" i="30"/>
  <c r="I14" i="8"/>
  <c r="H14" i="8"/>
  <c r="G14" i="8"/>
  <c r="F14" i="8"/>
  <c r="E14" i="8"/>
  <c r="D14" i="8"/>
  <c r="D15" i="8"/>
  <c r="Z25" i="33"/>
  <c r="Z26" i="33"/>
  <c r="Z27" i="33"/>
  <c r="Z28" i="33"/>
  <c r="Z29" i="33"/>
  <c r="Z30" i="33"/>
  <c r="Z31" i="33"/>
  <c r="Z32" i="33"/>
  <c r="Z33" i="33"/>
  <c r="Z34" i="33"/>
  <c r="Z35" i="33"/>
  <c r="Z36" i="33"/>
  <c r="Z37" i="33"/>
  <c r="Z38" i="33"/>
  <c r="Z39" i="33"/>
  <c r="Z40" i="33"/>
  <c r="Z41" i="33"/>
  <c r="Z42" i="33"/>
  <c r="Z43" i="33"/>
  <c r="Z44" i="33"/>
  <c r="Z45" i="33"/>
  <c r="Z46" i="33"/>
  <c r="Z47" i="33"/>
  <c r="Z48" i="33"/>
  <c r="Z49" i="33"/>
  <c r="Z50" i="33"/>
  <c r="Z51" i="33"/>
  <c r="Z52" i="33"/>
  <c r="Z53" i="33"/>
  <c r="Z54" i="33"/>
  <c r="Z55" i="33"/>
  <c r="Z56" i="33"/>
  <c r="Z57" i="33"/>
  <c r="Z58" i="33"/>
  <c r="Z59" i="33"/>
  <c r="Z60" i="33"/>
  <c r="Z61" i="33"/>
  <c r="Z62" i="33"/>
  <c r="Z63" i="33"/>
  <c r="Z64" i="33"/>
  <c r="Z65" i="33"/>
  <c r="Z66" i="33"/>
  <c r="Z67" i="33"/>
  <c r="Z16" i="33"/>
  <c r="Z17" i="33"/>
  <c r="Z18" i="33"/>
  <c r="Z19" i="33"/>
  <c r="Z20" i="33"/>
  <c r="Z21" i="33"/>
  <c r="Z22" i="33"/>
  <c r="Z23" i="33"/>
  <c r="Z24" i="33"/>
  <c r="Z9" i="33"/>
  <c r="Z10" i="33"/>
  <c r="Z11" i="33"/>
  <c r="Z12" i="33"/>
  <c r="Z13" i="33"/>
  <c r="Z14" i="33"/>
  <c r="Z15" i="33"/>
  <c r="Z8" i="33"/>
  <c r="Z7" i="33"/>
  <c r="Y63" i="33"/>
  <c r="Y64" i="33"/>
  <c r="X64" i="33" s="1"/>
  <c r="Y65" i="33"/>
  <c r="Y66" i="33"/>
  <c r="Y67" i="33"/>
  <c r="Y45" i="33"/>
  <c r="X45" i="33" s="1"/>
  <c r="Y46" i="33"/>
  <c r="V47" i="33" s="1"/>
  <c r="X47" i="33" s="1"/>
  <c r="Y47" i="33"/>
  <c r="Y48" i="33"/>
  <c r="X48" i="33" s="1"/>
  <c r="Y49" i="33"/>
  <c r="Y50" i="33"/>
  <c r="V51" i="33" s="1"/>
  <c r="X51" i="33" s="1"/>
  <c r="Y51" i="33"/>
  <c r="Y52" i="33"/>
  <c r="X52" i="33" s="1"/>
  <c r="Y53" i="33"/>
  <c r="Y54" i="33"/>
  <c r="V55" i="33" s="1"/>
  <c r="X55" i="33" s="1"/>
  <c r="Y55" i="33"/>
  <c r="Y56" i="33"/>
  <c r="V57" i="33" s="1"/>
  <c r="X57" i="33" s="1"/>
  <c r="Y57" i="33"/>
  <c r="Y58" i="33"/>
  <c r="V59" i="33" s="1"/>
  <c r="X59" i="33" s="1"/>
  <c r="Y59" i="33"/>
  <c r="Y60" i="33"/>
  <c r="X60" i="33" s="1"/>
  <c r="Y61" i="33"/>
  <c r="Y62" i="33"/>
  <c r="V63" i="33" s="1"/>
  <c r="X63" i="33" s="1"/>
  <c r="Y34" i="33"/>
  <c r="X34" i="33" s="1"/>
  <c r="Y35" i="33"/>
  <c r="V36" i="33" s="1"/>
  <c r="X36" i="33" s="1"/>
  <c r="Y36" i="33"/>
  <c r="Y37" i="33"/>
  <c r="Y38" i="33"/>
  <c r="Y39" i="33"/>
  <c r="V40" i="33" s="1"/>
  <c r="X40" i="33" s="1"/>
  <c r="Y40" i="33"/>
  <c r="Y41" i="33"/>
  <c r="Y42" i="33"/>
  <c r="Y43" i="33"/>
  <c r="V44" i="33" s="1"/>
  <c r="X44" i="33" s="1"/>
  <c r="Y44" i="33"/>
  <c r="Y28" i="33"/>
  <c r="X28" i="33" s="1"/>
  <c r="Y29" i="33"/>
  <c r="V30" i="33" s="1"/>
  <c r="X30" i="33" s="1"/>
  <c r="Y30" i="33"/>
  <c r="V31" i="33" s="1"/>
  <c r="X31" i="33" s="1"/>
  <c r="Y31" i="33"/>
  <c r="Y32" i="33"/>
  <c r="Y33" i="33"/>
  <c r="V34" i="33" s="1"/>
  <c r="Y19" i="33"/>
  <c r="X19" i="33" s="1"/>
  <c r="Y20" i="33"/>
  <c r="V21" i="33" s="1"/>
  <c r="X21" i="33" s="1"/>
  <c r="Y21" i="33"/>
  <c r="Y22" i="33"/>
  <c r="V23" i="33" s="1"/>
  <c r="X23" i="33" s="1"/>
  <c r="Y23" i="33"/>
  <c r="Y24" i="33"/>
  <c r="X24" i="33" s="1"/>
  <c r="Y25" i="33"/>
  <c r="Y26" i="33"/>
  <c r="V27" i="33" s="1"/>
  <c r="X27" i="33" s="1"/>
  <c r="Y27" i="33"/>
  <c r="Y11" i="33"/>
  <c r="X11" i="33" s="1"/>
  <c r="Y12" i="33"/>
  <c r="V13" i="33" s="1"/>
  <c r="X13" i="33" s="1"/>
  <c r="Y13" i="33"/>
  <c r="Y14" i="33"/>
  <c r="V15" i="33" s="1"/>
  <c r="X15" i="33" s="1"/>
  <c r="Y15" i="33"/>
  <c r="Y16" i="33"/>
  <c r="V17" i="33" s="1"/>
  <c r="X17" i="33" s="1"/>
  <c r="Y17" i="33"/>
  <c r="Y18" i="33"/>
  <c r="W63" i="33"/>
  <c r="W21" i="33"/>
  <c r="W22" i="33"/>
  <c r="W23" i="33"/>
  <c r="W24" i="33"/>
  <c r="W25" i="33"/>
  <c r="W26" i="33"/>
  <c r="W27" i="33"/>
  <c r="W28" i="33"/>
  <c r="W29" i="33"/>
  <c r="W30" i="33"/>
  <c r="W31" i="33"/>
  <c r="W32" i="33"/>
  <c r="W33" i="33"/>
  <c r="W34" i="33"/>
  <c r="W35" i="33"/>
  <c r="W36" i="33"/>
  <c r="W37" i="33"/>
  <c r="W38" i="33"/>
  <c r="W39" i="33"/>
  <c r="W40" i="33"/>
  <c r="W41" i="33"/>
  <c r="W42" i="33"/>
  <c r="W43" i="33"/>
  <c r="W44" i="33"/>
  <c r="W45" i="33"/>
  <c r="W46" i="33"/>
  <c r="W47" i="33"/>
  <c r="W48" i="33"/>
  <c r="W49" i="33"/>
  <c r="W50" i="33"/>
  <c r="W51" i="33"/>
  <c r="W52" i="33"/>
  <c r="W53" i="33"/>
  <c r="W54" i="33"/>
  <c r="W55" i="33"/>
  <c r="W56" i="33"/>
  <c r="W57" i="33"/>
  <c r="W58" i="33"/>
  <c r="W59" i="33"/>
  <c r="W60" i="33"/>
  <c r="W61" i="33"/>
  <c r="W62" i="33"/>
  <c r="W64" i="33"/>
  <c r="W65" i="33"/>
  <c r="W66" i="33"/>
  <c r="W67" i="33"/>
  <c r="W11" i="33"/>
  <c r="W12" i="33"/>
  <c r="W13" i="33"/>
  <c r="W14" i="33"/>
  <c r="W15" i="33"/>
  <c r="W16" i="33"/>
  <c r="W17" i="33"/>
  <c r="W18" i="33"/>
  <c r="W19" i="33"/>
  <c r="W20" i="33"/>
  <c r="V18" i="33"/>
  <c r="X18" i="33" s="1"/>
  <c r="V19" i="33"/>
  <c r="V20" i="33"/>
  <c r="V22" i="33"/>
  <c r="X22" i="33" s="1"/>
  <c r="V24" i="33"/>
  <c r="V26" i="33"/>
  <c r="X26" i="33" s="1"/>
  <c r="V28" i="33"/>
  <c r="V29" i="33"/>
  <c r="X29" i="33" s="1"/>
  <c r="V32" i="33"/>
  <c r="X32" i="33" s="1"/>
  <c r="V33" i="33"/>
  <c r="X33" i="33" s="1"/>
  <c r="V35" i="33"/>
  <c r="X35" i="33" s="1"/>
  <c r="V37" i="33"/>
  <c r="X37" i="33" s="1"/>
  <c r="V38" i="33"/>
  <c r="X38" i="33" s="1"/>
  <c r="V39" i="33"/>
  <c r="X39" i="33" s="1"/>
  <c r="V41" i="33"/>
  <c r="X41" i="33" s="1"/>
  <c r="V42" i="33"/>
  <c r="X42" i="33" s="1"/>
  <c r="V43" i="33"/>
  <c r="X43" i="33" s="1"/>
  <c r="V45" i="33"/>
  <c r="V46" i="33"/>
  <c r="X46" i="33" s="1"/>
  <c r="V48" i="33"/>
  <c r="V50" i="33"/>
  <c r="X50" i="33" s="1"/>
  <c r="V52" i="33"/>
  <c r="V54" i="33"/>
  <c r="X54" i="33" s="1"/>
  <c r="V56" i="33"/>
  <c r="V58" i="33"/>
  <c r="X58" i="33" s="1"/>
  <c r="V60" i="33"/>
  <c r="V62" i="33"/>
  <c r="X62" i="33" s="1"/>
  <c r="V64" i="33"/>
  <c r="V65" i="33"/>
  <c r="X65" i="33" s="1"/>
  <c r="V66" i="33"/>
  <c r="X66" i="33" s="1"/>
  <c r="V67" i="33"/>
  <c r="X67" i="33" s="1"/>
  <c r="V11" i="33"/>
  <c r="V12" i="33"/>
  <c r="X12" i="33" s="1"/>
  <c r="V14" i="33"/>
  <c r="X14" i="33" s="1"/>
  <c r="V16" i="33"/>
  <c r="X16" i="33" s="1"/>
  <c r="X10" i="33"/>
  <c r="Y10" i="33"/>
  <c r="Q7" i="33"/>
  <c r="S7" i="33" s="1"/>
  <c r="P8" i="33" s="1"/>
  <c r="V7" i="14"/>
  <c r="P62" i="14"/>
  <c r="P63" i="14"/>
  <c r="P64" i="14"/>
  <c r="P65" i="14"/>
  <c r="P66" i="14"/>
  <c r="P55" i="14"/>
  <c r="P56" i="14"/>
  <c r="P57" i="14"/>
  <c r="P58" i="14"/>
  <c r="P59" i="14"/>
  <c r="P60" i="14"/>
  <c r="P61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30" i="14"/>
  <c r="P31" i="14"/>
  <c r="P32" i="14"/>
  <c r="P33" i="14"/>
  <c r="P34" i="14"/>
  <c r="P35" i="14"/>
  <c r="P36" i="14"/>
  <c r="P37" i="14"/>
  <c r="P38" i="14"/>
  <c r="P24" i="14"/>
  <c r="P25" i="14"/>
  <c r="P26" i="14"/>
  <c r="P27" i="14"/>
  <c r="P28" i="14"/>
  <c r="P29" i="14"/>
  <c r="P17" i="14"/>
  <c r="P18" i="14"/>
  <c r="P19" i="14"/>
  <c r="P20" i="14"/>
  <c r="P21" i="14"/>
  <c r="P22" i="14"/>
  <c r="P23" i="14"/>
  <c r="P7" i="14"/>
  <c r="P8" i="14"/>
  <c r="P9" i="14"/>
  <c r="P10" i="14"/>
  <c r="P11" i="14"/>
  <c r="P12" i="14"/>
  <c r="P13" i="14"/>
  <c r="P14" i="14"/>
  <c r="P15" i="14"/>
  <c r="P16" i="14"/>
  <c r="P6" i="14"/>
  <c r="O61" i="14"/>
  <c r="O62" i="14"/>
  <c r="O63" i="14"/>
  <c r="O64" i="14"/>
  <c r="O65" i="14"/>
  <c r="O66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19" i="14"/>
  <c r="O20" i="14"/>
  <c r="O21" i="14"/>
  <c r="O22" i="14"/>
  <c r="O23" i="14"/>
  <c r="O24" i="14"/>
  <c r="O25" i="14"/>
  <c r="O26" i="14"/>
  <c r="O27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6" i="14"/>
  <c r="N7" i="14"/>
  <c r="N62" i="14"/>
  <c r="N63" i="14"/>
  <c r="N64" i="14"/>
  <c r="N65" i="14"/>
  <c r="N66" i="14"/>
  <c r="N52" i="14"/>
  <c r="N53" i="14"/>
  <c r="N54" i="14"/>
  <c r="N55" i="14"/>
  <c r="N56" i="14"/>
  <c r="N57" i="14"/>
  <c r="N58" i="14"/>
  <c r="N59" i="14"/>
  <c r="N60" i="14"/>
  <c r="N61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18" i="14"/>
  <c r="N19" i="14"/>
  <c r="N20" i="14"/>
  <c r="N21" i="14"/>
  <c r="N22" i="14"/>
  <c r="N23" i="14"/>
  <c r="N24" i="14"/>
  <c r="N25" i="14"/>
  <c r="N8" i="14"/>
  <c r="N9" i="14"/>
  <c r="N10" i="14"/>
  <c r="N11" i="14"/>
  <c r="N12" i="14"/>
  <c r="N13" i="14"/>
  <c r="N14" i="14"/>
  <c r="N15" i="14"/>
  <c r="N16" i="14"/>
  <c r="N17" i="14"/>
  <c r="N6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6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7" i="14"/>
  <c r="G8" i="14"/>
  <c r="G9" i="14"/>
  <c r="G10" i="14"/>
  <c r="G11" i="14"/>
  <c r="G12" i="14"/>
  <c r="G13" i="14"/>
  <c r="G6" i="14"/>
  <c r="V61" i="33" l="1"/>
  <c r="X61" i="33" s="1"/>
  <c r="V49" i="33"/>
  <c r="X49" i="33" s="1"/>
  <c r="X56" i="33"/>
  <c r="V53" i="33"/>
  <c r="X53" i="33" s="1"/>
  <c r="V25" i="33"/>
  <c r="X25" i="33" s="1"/>
  <c r="X20" i="33"/>
  <c r="W7" i="33"/>
  <c r="T7" i="33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7" i="14"/>
  <c r="J8" i="14"/>
  <c r="J9" i="14"/>
  <c r="J10" i="14"/>
  <c r="J11" i="14"/>
  <c r="J12" i="14"/>
  <c r="J13" i="14"/>
  <c r="J14" i="14"/>
  <c r="J15" i="14"/>
  <c r="J16" i="14"/>
  <c r="J17" i="14"/>
  <c r="J6" i="14"/>
  <c r="L10" i="9"/>
  <c r="L11" i="9"/>
  <c r="L12" i="9"/>
  <c r="L16" i="9"/>
  <c r="L20" i="9"/>
  <c r="K10" i="9"/>
  <c r="K11" i="9"/>
  <c r="K12" i="9"/>
  <c r="K13" i="9"/>
  <c r="K14" i="9"/>
  <c r="K15" i="9"/>
  <c r="K16" i="9"/>
  <c r="K17" i="9"/>
  <c r="K18" i="9"/>
  <c r="K19" i="9"/>
  <c r="K20" i="9"/>
  <c r="K9" i="9"/>
  <c r="K7" i="9"/>
  <c r="J20" i="9"/>
  <c r="M20" i="9" s="1"/>
  <c r="G20" i="9"/>
  <c r="J19" i="9"/>
  <c r="M19" i="9" s="1"/>
  <c r="G19" i="9"/>
  <c r="J17" i="9"/>
  <c r="L17" i="9" s="1"/>
  <c r="J18" i="9"/>
  <c r="L18" i="9" s="1"/>
  <c r="G18" i="9"/>
  <c r="G17" i="9"/>
  <c r="J13" i="9"/>
  <c r="M13" i="9" s="1"/>
  <c r="J14" i="9"/>
  <c r="J15" i="9"/>
  <c r="L15" i="9" s="1"/>
  <c r="J16" i="9"/>
  <c r="G13" i="9"/>
  <c r="G14" i="9"/>
  <c r="G15" i="9"/>
  <c r="G16" i="9"/>
  <c r="X7" i="33" l="1"/>
  <c r="Y7" i="33"/>
  <c r="V8" i="33" s="1"/>
  <c r="V63" i="14"/>
  <c r="V47" i="14"/>
  <c r="V31" i="14"/>
  <c r="V26" i="14"/>
  <c r="V22" i="14"/>
  <c r="V16" i="14"/>
  <c r="V8" i="14"/>
  <c r="V36" i="14"/>
  <c r="V20" i="14"/>
  <c r="V14" i="14"/>
  <c r="V10" i="14"/>
  <c r="V54" i="14"/>
  <c r="V42" i="14"/>
  <c r="V38" i="14"/>
  <c r="V17" i="14"/>
  <c r="V61" i="14"/>
  <c r="V57" i="14"/>
  <c r="V45" i="14"/>
  <c r="V41" i="14"/>
  <c r="V29" i="14"/>
  <c r="V25" i="14"/>
  <c r="V13" i="14"/>
  <c r="M14" i="9"/>
  <c r="L14" i="9"/>
  <c r="L19" i="9"/>
  <c r="L13" i="9"/>
  <c r="M16" i="9"/>
  <c r="M15" i="9"/>
  <c r="M17" i="9"/>
  <c r="M18" i="9"/>
  <c r="V24" i="14"/>
  <c r="V27" i="14"/>
  <c r="V28" i="14"/>
  <c r="V30" i="14"/>
  <c r="V32" i="14"/>
  <c r="V33" i="14"/>
  <c r="V34" i="14"/>
  <c r="V35" i="14"/>
  <c r="V37" i="14"/>
  <c r="V39" i="14"/>
  <c r="V40" i="14"/>
  <c r="V43" i="14"/>
  <c r="V44" i="14"/>
  <c r="V46" i="14"/>
  <c r="V48" i="14"/>
  <c r="V49" i="14"/>
  <c r="V50" i="14"/>
  <c r="V51" i="14"/>
  <c r="V52" i="14"/>
  <c r="V53" i="14"/>
  <c r="V55" i="14"/>
  <c r="V56" i="14"/>
  <c r="V59" i="14"/>
  <c r="V60" i="14"/>
  <c r="V62" i="14"/>
  <c r="V64" i="14"/>
  <c r="V65" i="14"/>
  <c r="V66" i="14"/>
  <c r="V15" i="14"/>
  <c r="V18" i="14"/>
  <c r="V19" i="14"/>
  <c r="V21" i="14"/>
  <c r="V23" i="14"/>
  <c r="V9" i="14"/>
  <c r="V11" i="14"/>
  <c r="V12" i="14"/>
  <c r="J7" i="21"/>
  <c r="J7" i="32" s="1"/>
  <c r="B8" i="33"/>
  <c r="E8" i="33" s="1"/>
  <c r="D8" i="33" s="1"/>
  <c r="E7" i="33"/>
  <c r="D7" i="33" s="1"/>
  <c r="C7" i="33"/>
  <c r="C8" i="33" s="1"/>
  <c r="C9" i="33" s="1"/>
  <c r="C10" i="33" s="1"/>
  <c r="C11" i="33" s="1"/>
  <c r="C12" i="33" s="1"/>
  <c r="C13" i="33" s="1"/>
  <c r="C14" i="33" s="1"/>
  <c r="C15" i="33" s="1"/>
  <c r="C16" i="33" s="1"/>
  <c r="C17" i="33" s="1"/>
  <c r="C18" i="33" s="1"/>
  <c r="C19" i="33" s="1"/>
  <c r="C20" i="33" s="1"/>
  <c r="C21" i="33" s="1"/>
  <c r="C22" i="33" s="1"/>
  <c r="C23" i="33" s="1"/>
  <c r="C24" i="33" s="1"/>
  <c r="C25" i="33" s="1"/>
  <c r="C26" i="33" s="1"/>
  <c r="C27" i="33" s="1"/>
  <c r="C28" i="33" s="1"/>
  <c r="C29" i="33" s="1"/>
  <c r="C30" i="33" s="1"/>
  <c r="C31" i="33" s="1"/>
  <c r="C32" i="33" s="1"/>
  <c r="C33" i="33" s="1"/>
  <c r="C34" i="33" s="1"/>
  <c r="C35" i="33" s="1"/>
  <c r="C36" i="33" s="1"/>
  <c r="C37" i="33" s="1"/>
  <c r="C38" i="33" s="1"/>
  <c r="C39" i="33" s="1"/>
  <c r="C40" i="33" s="1"/>
  <c r="C41" i="33" s="1"/>
  <c r="C42" i="33" s="1"/>
  <c r="C43" i="33" s="1"/>
  <c r="C44" i="33" s="1"/>
  <c r="C45" i="33" s="1"/>
  <c r="C46" i="33" s="1"/>
  <c r="C47" i="33" s="1"/>
  <c r="C48" i="33" s="1"/>
  <c r="C49" i="33" s="1"/>
  <c r="C50" i="33" s="1"/>
  <c r="C51" i="33" s="1"/>
  <c r="C52" i="33" s="1"/>
  <c r="C53" i="33" s="1"/>
  <c r="C54" i="33" s="1"/>
  <c r="C55" i="33" s="1"/>
  <c r="C56" i="33" s="1"/>
  <c r="C57" i="33" s="1"/>
  <c r="C58" i="33" s="1"/>
  <c r="C59" i="33" s="1"/>
  <c r="C60" i="33" s="1"/>
  <c r="C61" i="33" s="1"/>
  <c r="C62" i="33" s="1"/>
  <c r="C63" i="33" s="1"/>
  <c r="C64" i="33" s="1"/>
  <c r="C65" i="33" s="1"/>
  <c r="C66" i="33" s="1"/>
  <c r="C67" i="33" s="1"/>
  <c r="E5" i="31"/>
  <c r="F5" i="31" s="1"/>
  <c r="G5" i="31" s="1"/>
  <c r="H5" i="31" s="1"/>
  <c r="I5" i="31" s="1"/>
  <c r="J5" i="31" s="1"/>
  <c r="B7" i="32"/>
  <c r="V58" i="14" l="1"/>
  <c r="B9" i="33"/>
  <c r="E9" i="33" l="1"/>
  <c r="D9" i="33" s="1"/>
  <c r="B10" i="33"/>
  <c r="A1" i="30"/>
  <c r="B1" i="30"/>
  <c r="C1" i="30"/>
  <c r="B4" i="30"/>
  <c r="C4" i="30"/>
  <c r="D4" i="30"/>
  <c r="E4" i="30"/>
  <c r="F4" i="30"/>
  <c r="G4" i="30"/>
  <c r="H4" i="30"/>
  <c r="B5" i="30"/>
  <c r="A6" i="30"/>
  <c r="B6" i="30"/>
  <c r="A7" i="30"/>
  <c r="A8" i="30"/>
  <c r="B8" i="30"/>
  <c r="C8" i="30"/>
  <c r="D8" i="30"/>
  <c r="E8" i="30"/>
  <c r="F8" i="30"/>
  <c r="G8" i="30"/>
  <c r="H8" i="30"/>
  <c r="A10" i="30"/>
  <c r="B10" i="30"/>
  <c r="A11" i="30"/>
  <c r="A12" i="30"/>
  <c r="B12" i="30"/>
  <c r="C12" i="30"/>
  <c r="D12" i="30"/>
  <c r="E12" i="30"/>
  <c r="F12" i="30"/>
  <c r="G12" i="30"/>
  <c r="H12" i="30"/>
  <c r="A13" i="30"/>
  <c r="A15" i="30"/>
  <c r="B15" i="30"/>
  <c r="A16" i="30"/>
  <c r="B16" i="30"/>
  <c r="C16" i="30"/>
  <c r="A17" i="30"/>
  <c r="B17" i="30"/>
  <c r="C17" i="30"/>
  <c r="A18" i="30"/>
  <c r="A19" i="30"/>
  <c r="A20" i="30"/>
  <c r="A21" i="30"/>
  <c r="A22" i="30"/>
  <c r="B22" i="30"/>
  <c r="A23" i="30"/>
  <c r="B23" i="30"/>
  <c r="C23" i="30"/>
  <c r="D23" i="30"/>
  <c r="E23" i="30"/>
  <c r="F23" i="30"/>
  <c r="G23" i="30"/>
  <c r="H23" i="30"/>
  <c r="A25" i="30"/>
  <c r="A26" i="30"/>
  <c r="A27" i="30"/>
  <c r="A29" i="30"/>
  <c r="A30" i="30"/>
  <c r="A32" i="30"/>
  <c r="F7" i="4"/>
  <c r="C7" i="4" s="1"/>
  <c r="G51" i="4"/>
  <c r="G52" i="4"/>
  <c r="G53" i="4"/>
  <c r="G7" i="4"/>
  <c r="E7" i="4"/>
  <c r="G50" i="4"/>
  <c r="G43" i="4"/>
  <c r="G44" i="4"/>
  <c r="G45" i="4"/>
  <c r="G46" i="4"/>
  <c r="G47" i="4"/>
  <c r="G48" i="4"/>
  <c r="G49" i="4"/>
  <c r="G38" i="4"/>
  <c r="G39" i="4"/>
  <c r="G40" i="4"/>
  <c r="G41" i="4"/>
  <c r="G26" i="4"/>
  <c r="G27" i="4"/>
  <c r="G28" i="4"/>
  <c r="G29" i="4"/>
  <c r="G30" i="4"/>
  <c r="G31" i="4"/>
  <c r="G32" i="4"/>
  <c r="G33" i="4"/>
  <c r="G34" i="4"/>
  <c r="G35" i="4"/>
  <c r="G36" i="4"/>
  <c r="G37" i="4"/>
  <c r="G25" i="4"/>
  <c r="K7" i="21"/>
  <c r="K7" i="32" s="1"/>
  <c r="B11" i="33" l="1"/>
  <c r="E10" i="33"/>
  <c r="D10" i="33" s="1"/>
  <c r="B12" i="33" l="1"/>
  <c r="E11" i="33"/>
  <c r="D11" i="33" s="1"/>
  <c r="E12" i="33" l="1"/>
  <c r="D12" i="33" s="1"/>
  <c r="B13" i="33"/>
  <c r="E13" i="33" l="1"/>
  <c r="D13" i="33" s="1"/>
  <c r="B14" i="33"/>
  <c r="C38" i="16"/>
  <c r="C33" i="16"/>
  <c r="K6" i="14"/>
  <c r="R7" i="29"/>
  <c r="S7" i="29"/>
  <c r="P7" i="29"/>
  <c r="Q7" i="29" s="1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3" i="26"/>
  <c r="L4" i="26"/>
  <c r="L5" i="26"/>
  <c r="L6" i="26"/>
  <c r="L7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2" i="26"/>
  <c r="J2" i="26"/>
  <c r="B8" i="29"/>
  <c r="E7" i="29"/>
  <c r="D7" i="29" s="1"/>
  <c r="C7" i="29"/>
  <c r="C8" i="29" s="1"/>
  <c r="F8" i="29" s="1"/>
  <c r="G8" i="29" s="1"/>
  <c r="B15" i="33" l="1"/>
  <c r="E14" i="33"/>
  <c r="D14" i="33" s="1"/>
  <c r="F7" i="29"/>
  <c r="G7" i="29" s="1"/>
  <c r="B9" i="29"/>
  <c r="C9" i="29"/>
  <c r="B10" i="29"/>
  <c r="E8" i="29"/>
  <c r="D8" i="29" s="1"/>
  <c r="E9" i="29"/>
  <c r="D9" i="29" s="1"/>
  <c r="D5" i="8"/>
  <c r="C5" i="30" s="1"/>
  <c r="D13" i="8"/>
  <c r="C13" i="30" s="1"/>
  <c r="B16" i="33" l="1"/>
  <c r="E15" i="33"/>
  <c r="D15" i="33" s="1"/>
  <c r="B11" i="29"/>
  <c r="E10" i="29"/>
  <c r="D10" i="29" s="1"/>
  <c r="C10" i="29"/>
  <c r="F9" i="29"/>
  <c r="G9" i="29" s="1"/>
  <c r="D4" i="4"/>
  <c r="E10" i="10"/>
  <c r="C10" i="10"/>
  <c r="C13" i="10"/>
  <c r="E16" i="33" l="1"/>
  <c r="D16" i="33" s="1"/>
  <c r="B17" i="33"/>
  <c r="C11" i="29"/>
  <c r="F10" i="29"/>
  <c r="G10" i="29" s="1"/>
  <c r="B12" i="29"/>
  <c r="E11" i="29"/>
  <c r="D11" i="29" s="1"/>
  <c r="E17" i="33" l="1"/>
  <c r="D17" i="33" s="1"/>
  <c r="B18" i="33"/>
  <c r="E12" i="29"/>
  <c r="D12" i="29" s="1"/>
  <c r="B13" i="29"/>
  <c r="F11" i="29"/>
  <c r="G11" i="29" s="1"/>
  <c r="C12" i="29"/>
  <c r="B10" i="28"/>
  <c r="E10" i="28" s="1"/>
  <c r="D10" i="28" s="1"/>
  <c r="E9" i="28"/>
  <c r="D9" i="28" s="1"/>
  <c r="B9" i="28"/>
  <c r="E8" i="28"/>
  <c r="D8" i="28" s="1"/>
  <c r="C8" i="28"/>
  <c r="C9" i="28" s="1"/>
  <c r="C10" i="28" s="1"/>
  <c r="C11" i="28" s="1"/>
  <c r="C12" i="28" s="1"/>
  <c r="C13" i="28" s="1"/>
  <c r="C14" i="28" s="1"/>
  <c r="C15" i="28" s="1"/>
  <c r="C16" i="28" s="1"/>
  <c r="C17" i="28" s="1"/>
  <c r="C18" i="28" s="1"/>
  <c r="C19" i="28" s="1"/>
  <c r="C20" i="28" s="1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4" i="28"/>
  <c r="J7" i="9"/>
  <c r="L7" i="9" s="1"/>
  <c r="J9" i="9"/>
  <c r="L9" i="9" s="1"/>
  <c r="B19" i="33" l="1"/>
  <c r="E18" i="33"/>
  <c r="D18" i="33" s="1"/>
  <c r="M7" i="9"/>
  <c r="M8" i="9"/>
  <c r="M9" i="9"/>
  <c r="F12" i="29"/>
  <c r="G12" i="29" s="1"/>
  <c r="C13" i="29"/>
  <c r="E13" i="29"/>
  <c r="D13" i="29" s="1"/>
  <c r="B14" i="29"/>
  <c r="B11" i="28"/>
  <c r="B20" i="33" l="1"/>
  <c r="E19" i="33"/>
  <c r="D19" i="33" s="1"/>
  <c r="C14" i="29"/>
  <c r="F13" i="29"/>
  <c r="G13" i="29" s="1"/>
  <c r="B15" i="29"/>
  <c r="E14" i="29"/>
  <c r="D14" i="29" s="1"/>
  <c r="E11" i="28"/>
  <c r="B12" i="28"/>
  <c r="E20" i="33" l="1"/>
  <c r="D20" i="33" s="1"/>
  <c r="B21" i="33"/>
  <c r="B16" i="29"/>
  <c r="E15" i="29"/>
  <c r="D15" i="29" s="1"/>
  <c r="C15" i="29"/>
  <c r="F14" i="29"/>
  <c r="G14" i="29" s="1"/>
  <c r="D11" i="28"/>
  <c r="E12" i="28"/>
  <c r="B13" i="28"/>
  <c r="E21" i="33" l="1"/>
  <c r="D21" i="33" s="1"/>
  <c r="B22" i="33"/>
  <c r="F15" i="29"/>
  <c r="G15" i="29" s="1"/>
  <c r="C16" i="29"/>
  <c r="E16" i="29"/>
  <c r="D16" i="29" s="1"/>
  <c r="B17" i="29"/>
  <c r="D12" i="28"/>
  <c r="E13" i="28"/>
  <c r="B14" i="28"/>
  <c r="B23" i="33" l="1"/>
  <c r="E22" i="33"/>
  <c r="D22" i="33" s="1"/>
  <c r="E17" i="29"/>
  <c r="D17" i="29" s="1"/>
  <c r="B18" i="29"/>
  <c r="F16" i="29"/>
  <c r="G16" i="29" s="1"/>
  <c r="C17" i="29"/>
  <c r="D13" i="28"/>
  <c r="E14" i="28"/>
  <c r="B15" i="28"/>
  <c r="B24" i="33" l="1"/>
  <c r="E23" i="33"/>
  <c r="D23" i="33" s="1"/>
  <c r="C18" i="29"/>
  <c r="F17" i="29"/>
  <c r="G17" i="29" s="1"/>
  <c r="B19" i="29"/>
  <c r="E18" i="29"/>
  <c r="D18" i="29" s="1"/>
  <c r="D14" i="28"/>
  <c r="E15" i="28"/>
  <c r="B16" i="28"/>
  <c r="C4" i="23"/>
  <c r="F8" i="23" s="1"/>
  <c r="J62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3" i="26"/>
  <c r="J4" i="26"/>
  <c r="J5" i="26"/>
  <c r="J6" i="26"/>
  <c r="J7" i="26"/>
  <c r="J8" i="26"/>
  <c r="J9" i="26"/>
  <c r="J10" i="26"/>
  <c r="J11" i="26"/>
  <c r="K1" i="26"/>
  <c r="K15" i="26" s="1"/>
  <c r="R58" i="27"/>
  <c r="Q58" i="27"/>
  <c r="R60" i="27"/>
  <c r="R61" i="27"/>
  <c r="R62" i="27"/>
  <c r="R59" i="27"/>
  <c r="Q60" i="27"/>
  <c r="Q61" i="27"/>
  <c r="Q62" i="27"/>
  <c r="Q59" i="27"/>
  <c r="P58" i="27"/>
  <c r="O58" i="27"/>
  <c r="P60" i="27"/>
  <c r="P61" i="27"/>
  <c r="P62" i="27"/>
  <c r="P59" i="27"/>
  <c r="O60" i="27"/>
  <c r="O61" i="27"/>
  <c r="O62" i="27"/>
  <c r="O59" i="27"/>
  <c r="M58" i="27"/>
  <c r="N58" i="27"/>
  <c r="J1" i="26"/>
  <c r="L58" i="27"/>
  <c r="K58" i="27"/>
  <c r="L60" i="27"/>
  <c r="L61" i="27"/>
  <c r="L62" i="27"/>
  <c r="K59" i="27"/>
  <c r="L59" i="27"/>
  <c r="K60" i="27"/>
  <c r="K61" i="27"/>
  <c r="K62" i="27"/>
  <c r="I59" i="27"/>
  <c r="J59" i="27"/>
  <c r="I60" i="27"/>
  <c r="J60" i="27"/>
  <c r="I61" i="27"/>
  <c r="J61" i="27"/>
  <c r="I62" i="27"/>
  <c r="J62" i="27"/>
  <c r="J58" i="27"/>
  <c r="I58" i="27"/>
  <c r="F58" i="27"/>
  <c r="E58" i="27"/>
  <c r="D58" i="27"/>
  <c r="C58" i="27"/>
  <c r="H58" i="27"/>
  <c r="H60" i="27"/>
  <c r="H61" i="27"/>
  <c r="H62" i="27"/>
  <c r="H59" i="27"/>
  <c r="E62" i="27"/>
  <c r="E61" i="27"/>
  <c r="E60" i="27"/>
  <c r="E59" i="27"/>
  <c r="C62" i="27"/>
  <c r="C61" i="27"/>
  <c r="C60" i="27"/>
  <c r="C59" i="27"/>
  <c r="D35" i="27"/>
  <c r="D24" i="27"/>
  <c r="D2" i="27"/>
  <c r="D13" i="27"/>
  <c r="F45" i="27"/>
  <c r="E45" i="27"/>
  <c r="F44" i="27"/>
  <c r="E44" i="27"/>
  <c r="F43" i="27"/>
  <c r="E43" i="27"/>
  <c r="F42" i="27"/>
  <c r="E42" i="27"/>
  <c r="F41" i="27"/>
  <c r="E41" i="27"/>
  <c r="F40" i="27"/>
  <c r="E40" i="27"/>
  <c r="F39" i="27"/>
  <c r="E39" i="27"/>
  <c r="F38" i="27"/>
  <c r="E38" i="27"/>
  <c r="F37" i="27"/>
  <c r="E37" i="27"/>
  <c r="F36" i="27"/>
  <c r="F35" i="27" s="1"/>
  <c r="E36" i="27"/>
  <c r="F34" i="27"/>
  <c r="E34" i="27"/>
  <c r="F33" i="27"/>
  <c r="E33" i="27"/>
  <c r="F32" i="27"/>
  <c r="E32" i="27"/>
  <c r="F31" i="27"/>
  <c r="E31" i="27"/>
  <c r="F30" i="27"/>
  <c r="E30" i="27"/>
  <c r="F29" i="27"/>
  <c r="E29" i="27"/>
  <c r="F28" i="27"/>
  <c r="E28" i="27"/>
  <c r="F27" i="27"/>
  <c r="E27" i="27"/>
  <c r="F26" i="27"/>
  <c r="E26" i="27"/>
  <c r="F25" i="27"/>
  <c r="E25" i="27"/>
  <c r="F23" i="27"/>
  <c r="E23" i="27"/>
  <c r="F22" i="27"/>
  <c r="E22" i="27"/>
  <c r="F21" i="27"/>
  <c r="E21" i="27"/>
  <c r="F20" i="27"/>
  <c r="E20" i="27"/>
  <c r="F19" i="27"/>
  <c r="E19" i="27"/>
  <c r="F18" i="27"/>
  <c r="E18" i="27"/>
  <c r="F17" i="27"/>
  <c r="E17" i="27"/>
  <c r="F16" i="27"/>
  <c r="E16" i="27"/>
  <c r="F15" i="27"/>
  <c r="E15" i="27"/>
  <c r="F14" i="27"/>
  <c r="F13" i="27" s="1"/>
  <c r="E14" i="27"/>
  <c r="F12" i="27"/>
  <c r="E12" i="27"/>
  <c r="F11" i="27"/>
  <c r="E11" i="27"/>
  <c r="F10" i="27"/>
  <c r="E10" i="27"/>
  <c r="F9" i="27"/>
  <c r="E9" i="27"/>
  <c r="F8" i="27"/>
  <c r="E8" i="27"/>
  <c r="F7" i="27"/>
  <c r="E7" i="27"/>
  <c r="F6" i="27"/>
  <c r="E6" i="27"/>
  <c r="F5" i="27"/>
  <c r="E5" i="27"/>
  <c r="F4" i="27"/>
  <c r="E4" i="27"/>
  <c r="F3" i="27"/>
  <c r="F2" i="27" s="1"/>
  <c r="E3" i="27"/>
  <c r="E24" i="33" l="1"/>
  <c r="D24" i="33" s="1"/>
  <c r="B25" i="33"/>
  <c r="K61" i="26"/>
  <c r="K45" i="26"/>
  <c r="K29" i="26"/>
  <c r="K13" i="26"/>
  <c r="K2" i="26"/>
  <c r="K57" i="26"/>
  <c r="K41" i="26"/>
  <c r="K25" i="26"/>
  <c r="K9" i="26"/>
  <c r="K53" i="26"/>
  <c r="K37" i="26"/>
  <c r="K21" i="26"/>
  <c r="K5" i="26"/>
  <c r="K49" i="26"/>
  <c r="K33" i="26"/>
  <c r="K17" i="26"/>
  <c r="K12" i="26"/>
  <c r="K8" i="26"/>
  <c r="K4" i="26"/>
  <c r="K60" i="26"/>
  <c r="K56" i="26"/>
  <c r="K52" i="26"/>
  <c r="K48" i="26"/>
  <c r="K44" i="26"/>
  <c r="K40" i="26"/>
  <c r="K36" i="26"/>
  <c r="K32" i="26"/>
  <c r="K28" i="26"/>
  <c r="K24" i="26"/>
  <c r="K20" i="26"/>
  <c r="K16" i="26"/>
  <c r="K11" i="26"/>
  <c r="K7" i="26"/>
  <c r="K3" i="26"/>
  <c r="K59" i="26"/>
  <c r="K55" i="26"/>
  <c r="K51" i="26"/>
  <c r="K47" i="26"/>
  <c r="K43" i="26"/>
  <c r="K39" i="26"/>
  <c r="K35" i="26"/>
  <c r="K31" i="26"/>
  <c r="K27" i="26"/>
  <c r="K23" i="26"/>
  <c r="K19" i="26"/>
  <c r="M15" i="26"/>
  <c r="M19" i="26"/>
  <c r="M23" i="26"/>
  <c r="M27" i="26"/>
  <c r="M31" i="26"/>
  <c r="M35" i="26"/>
  <c r="M39" i="26"/>
  <c r="M43" i="26"/>
  <c r="M47" i="26"/>
  <c r="M51" i="26"/>
  <c r="M55" i="26"/>
  <c r="M59" i="26"/>
  <c r="M3" i="26"/>
  <c r="M7" i="26"/>
  <c r="M11" i="26"/>
  <c r="M2" i="26"/>
  <c r="M46" i="26"/>
  <c r="M16" i="26"/>
  <c r="M20" i="26"/>
  <c r="M24" i="26"/>
  <c r="M28" i="26"/>
  <c r="M32" i="26"/>
  <c r="M36" i="26"/>
  <c r="M40" i="26"/>
  <c r="M44" i="26"/>
  <c r="M48" i="26"/>
  <c r="M52" i="26"/>
  <c r="M56" i="26"/>
  <c r="M60" i="26"/>
  <c r="M4" i="26"/>
  <c r="M8" i="26"/>
  <c r="M12" i="26"/>
  <c r="M22" i="26"/>
  <c r="M34" i="26"/>
  <c r="M42" i="26"/>
  <c r="M54" i="26"/>
  <c r="M62" i="26"/>
  <c r="M10" i="26"/>
  <c r="M14" i="26"/>
  <c r="M17" i="26"/>
  <c r="M21" i="26"/>
  <c r="M25" i="26"/>
  <c r="M29" i="26"/>
  <c r="M33" i="26"/>
  <c r="M37" i="26"/>
  <c r="M41" i="26"/>
  <c r="M45" i="26"/>
  <c r="M49" i="26"/>
  <c r="M53" i="26"/>
  <c r="M57" i="26"/>
  <c r="M61" i="26"/>
  <c r="M5" i="26"/>
  <c r="M9" i="26"/>
  <c r="M13" i="26"/>
  <c r="M18" i="26"/>
  <c r="M26" i="26"/>
  <c r="M30" i="26"/>
  <c r="M38" i="26"/>
  <c r="M50" i="26"/>
  <c r="M58" i="26"/>
  <c r="M6" i="26"/>
  <c r="K10" i="26"/>
  <c r="K6" i="26"/>
  <c r="K62" i="26"/>
  <c r="K58" i="26"/>
  <c r="K54" i="26"/>
  <c r="K50" i="26"/>
  <c r="K46" i="26"/>
  <c r="K42" i="26"/>
  <c r="K38" i="26"/>
  <c r="K34" i="26"/>
  <c r="K30" i="26"/>
  <c r="K26" i="26"/>
  <c r="K22" i="26"/>
  <c r="K18" i="26"/>
  <c r="K14" i="26"/>
  <c r="B20" i="29"/>
  <c r="E19" i="29"/>
  <c r="D19" i="29" s="1"/>
  <c r="C19" i="29"/>
  <c r="F18" i="29"/>
  <c r="G18" i="29" s="1"/>
  <c r="D15" i="28"/>
  <c r="E16" i="28"/>
  <c r="B17" i="28"/>
  <c r="E13" i="27"/>
  <c r="D60" i="27" s="1"/>
  <c r="G60" i="27" s="1"/>
  <c r="E24" i="27"/>
  <c r="D61" i="27" s="1"/>
  <c r="G61" i="27" s="1"/>
  <c r="E2" i="27"/>
  <c r="D59" i="27" s="1"/>
  <c r="G59" i="27" s="1"/>
  <c r="F24" i="27"/>
  <c r="E35" i="27"/>
  <c r="D62" i="27" s="1"/>
  <c r="G62" i="27" s="1"/>
  <c r="E25" i="33" l="1"/>
  <c r="D25" i="33" s="1"/>
  <c r="B26" i="33"/>
  <c r="F19" i="29"/>
  <c r="G19" i="29" s="1"/>
  <c r="C20" i="29"/>
  <c r="B21" i="29"/>
  <c r="E20" i="29"/>
  <c r="D20" i="29" s="1"/>
  <c r="D16" i="28"/>
  <c r="E17" i="28"/>
  <c r="B18" i="28"/>
  <c r="G58" i="27"/>
  <c r="B27" i="33" l="1"/>
  <c r="E26" i="33"/>
  <c r="D26" i="33" s="1"/>
  <c r="C21" i="29"/>
  <c r="F20" i="29"/>
  <c r="G20" i="29" s="1"/>
  <c r="B22" i="29"/>
  <c r="E21" i="29"/>
  <c r="D21" i="29" s="1"/>
  <c r="D17" i="28"/>
  <c r="E18" i="28"/>
  <c r="B19" i="28"/>
  <c r="B28" i="33" l="1"/>
  <c r="E27" i="33"/>
  <c r="D27" i="33" s="1"/>
  <c r="E22" i="29"/>
  <c r="D22" i="29" s="1"/>
  <c r="B23" i="29"/>
  <c r="F21" i="29"/>
  <c r="G21" i="29" s="1"/>
  <c r="C22" i="29"/>
  <c r="D18" i="28"/>
  <c r="E19" i="28"/>
  <c r="B20" i="28"/>
  <c r="B29" i="33" l="1"/>
  <c r="E28" i="33"/>
  <c r="D28" i="33" s="1"/>
  <c r="E23" i="29"/>
  <c r="D23" i="29" s="1"/>
  <c r="B24" i="29"/>
  <c r="F22" i="29"/>
  <c r="G22" i="29" s="1"/>
  <c r="C23" i="29"/>
  <c r="D19" i="28"/>
  <c r="E20" i="28"/>
  <c r="B21" i="28"/>
  <c r="B30" i="33" l="1"/>
  <c r="E29" i="33"/>
  <c r="D29" i="33" s="1"/>
  <c r="C24" i="29"/>
  <c r="F23" i="29"/>
  <c r="G23" i="29" s="1"/>
  <c r="B25" i="29"/>
  <c r="E24" i="29"/>
  <c r="D24" i="29" s="1"/>
  <c r="D20" i="28"/>
  <c r="E21" i="28"/>
  <c r="B22" i="28"/>
  <c r="E30" i="33" l="1"/>
  <c r="D30" i="33" s="1"/>
  <c r="B31" i="33"/>
  <c r="B26" i="29"/>
  <c r="E25" i="29"/>
  <c r="D25" i="29" s="1"/>
  <c r="C25" i="29"/>
  <c r="F24" i="29"/>
  <c r="G24" i="29" s="1"/>
  <c r="D21" i="28"/>
  <c r="E22" i="28"/>
  <c r="B23" i="28"/>
  <c r="E31" i="33" l="1"/>
  <c r="D31" i="33" s="1"/>
  <c r="B32" i="33"/>
  <c r="F25" i="29"/>
  <c r="G25" i="29" s="1"/>
  <c r="C26" i="29"/>
  <c r="E26" i="29"/>
  <c r="D26" i="29" s="1"/>
  <c r="B27" i="29"/>
  <c r="D22" i="28"/>
  <c r="B24" i="28"/>
  <c r="E23" i="28"/>
  <c r="B33" i="33" l="1"/>
  <c r="E32" i="33"/>
  <c r="D32" i="33" s="1"/>
  <c r="E27" i="29"/>
  <c r="D27" i="29" s="1"/>
  <c r="B28" i="29"/>
  <c r="F26" i="29"/>
  <c r="G26" i="29" s="1"/>
  <c r="C27" i="29"/>
  <c r="D23" i="28"/>
  <c r="E24" i="28"/>
  <c r="B25" i="28"/>
  <c r="B34" i="33" l="1"/>
  <c r="E33" i="33"/>
  <c r="D33" i="33" s="1"/>
  <c r="B29" i="29"/>
  <c r="E28" i="29"/>
  <c r="D28" i="29" s="1"/>
  <c r="C28" i="29"/>
  <c r="F27" i="29"/>
  <c r="G27" i="29" s="1"/>
  <c r="D24" i="28"/>
  <c r="B26" i="28"/>
  <c r="E25" i="28"/>
  <c r="E34" i="33" l="1"/>
  <c r="D34" i="33" s="1"/>
  <c r="B35" i="33"/>
  <c r="C29" i="29"/>
  <c r="F28" i="29"/>
  <c r="G28" i="29" s="1"/>
  <c r="B30" i="29"/>
  <c r="E29" i="29"/>
  <c r="D29" i="29" s="1"/>
  <c r="D25" i="28"/>
  <c r="B27" i="28"/>
  <c r="E26" i="28"/>
  <c r="E35" i="33" l="1"/>
  <c r="D35" i="33" s="1"/>
  <c r="B36" i="33"/>
  <c r="E30" i="29"/>
  <c r="D30" i="29" s="1"/>
  <c r="B31" i="29"/>
  <c r="F29" i="29"/>
  <c r="G29" i="29" s="1"/>
  <c r="C30" i="29"/>
  <c r="D26" i="28"/>
  <c r="E27" i="28"/>
  <c r="B28" i="28"/>
  <c r="B37" i="33" l="1"/>
  <c r="E36" i="33"/>
  <c r="D36" i="33" s="1"/>
  <c r="F30" i="29"/>
  <c r="G30" i="29" s="1"/>
  <c r="C31" i="29"/>
  <c r="E31" i="29"/>
  <c r="D31" i="29" s="1"/>
  <c r="B32" i="29"/>
  <c r="D27" i="28"/>
  <c r="B29" i="28"/>
  <c r="E28" i="28"/>
  <c r="B38" i="33" l="1"/>
  <c r="E37" i="33"/>
  <c r="D37" i="33" s="1"/>
  <c r="B33" i="29"/>
  <c r="E32" i="29"/>
  <c r="D32" i="29" s="1"/>
  <c r="C32" i="29"/>
  <c r="F31" i="29"/>
  <c r="G31" i="29" s="1"/>
  <c r="D28" i="28"/>
  <c r="E29" i="28"/>
  <c r="B30" i="28"/>
  <c r="E38" i="33" l="1"/>
  <c r="D38" i="33" s="1"/>
  <c r="B39" i="33"/>
  <c r="F32" i="29"/>
  <c r="G32" i="29" s="1"/>
  <c r="C33" i="29"/>
  <c r="E33" i="29"/>
  <c r="D33" i="29" s="1"/>
  <c r="B34" i="29"/>
  <c r="D29" i="28"/>
  <c r="B31" i="28"/>
  <c r="E30" i="28"/>
  <c r="E39" i="33" l="1"/>
  <c r="D39" i="33" s="1"/>
  <c r="B40" i="33"/>
  <c r="C34" i="29"/>
  <c r="F33" i="29"/>
  <c r="G33" i="29" s="1"/>
  <c r="B35" i="29"/>
  <c r="E34" i="29"/>
  <c r="D34" i="29" s="1"/>
  <c r="D30" i="28"/>
  <c r="E31" i="28"/>
  <c r="B32" i="28"/>
  <c r="B41" i="33" l="1"/>
  <c r="E40" i="33"/>
  <c r="D40" i="33" s="1"/>
  <c r="B36" i="29"/>
  <c r="E35" i="29"/>
  <c r="D35" i="29" s="1"/>
  <c r="C35" i="29"/>
  <c r="F34" i="29"/>
  <c r="G34" i="29" s="1"/>
  <c r="D31" i="28"/>
  <c r="B33" i="28"/>
  <c r="E32" i="28"/>
  <c r="I2" i="26"/>
  <c r="O7" i="29" s="1"/>
  <c r="I3" i="26"/>
  <c r="I4" i="26"/>
  <c r="I5" i="26"/>
  <c r="I6" i="26"/>
  <c r="I7" i="26"/>
  <c r="I8" i="26"/>
  <c r="I9" i="26"/>
  <c r="I10" i="26"/>
  <c r="I11" i="26"/>
  <c r="I12" i="26"/>
  <c r="I13" i="26"/>
  <c r="I14" i="26"/>
  <c r="I15" i="26"/>
  <c r="I16" i="26"/>
  <c r="G2" i="26"/>
  <c r="M7" i="29" s="1"/>
  <c r="H2" i="26"/>
  <c r="N7" i="29" s="1"/>
  <c r="G3" i="26"/>
  <c r="H3" i="26"/>
  <c r="G4" i="26"/>
  <c r="H4" i="26"/>
  <c r="G5" i="26"/>
  <c r="H5" i="26"/>
  <c r="G6" i="26"/>
  <c r="H6" i="26"/>
  <c r="G7" i="26"/>
  <c r="H7" i="26"/>
  <c r="G8" i="26"/>
  <c r="H8" i="26"/>
  <c r="G9" i="26"/>
  <c r="H9" i="26"/>
  <c r="G10" i="26"/>
  <c r="H10" i="26"/>
  <c r="G11" i="26"/>
  <c r="H11" i="26"/>
  <c r="G12" i="26"/>
  <c r="H12" i="26"/>
  <c r="G13" i="26"/>
  <c r="H13" i="26"/>
  <c r="G14" i="26"/>
  <c r="H14" i="26"/>
  <c r="G15" i="26"/>
  <c r="H15" i="26"/>
  <c r="G16" i="26"/>
  <c r="H16" i="26"/>
  <c r="F9" i="26"/>
  <c r="F10" i="26"/>
  <c r="F11" i="26"/>
  <c r="L16" i="29" s="1"/>
  <c r="F12" i="26"/>
  <c r="F13" i="26"/>
  <c r="F14" i="26"/>
  <c r="F15" i="26"/>
  <c r="L20" i="29" s="1"/>
  <c r="F16" i="26"/>
  <c r="F4" i="26"/>
  <c r="F5" i="26"/>
  <c r="L10" i="29" s="1"/>
  <c r="F6" i="26"/>
  <c r="F7" i="26"/>
  <c r="L12" i="29" s="1"/>
  <c r="F8" i="26"/>
  <c r="F3" i="26"/>
  <c r="L8" i="29" s="1"/>
  <c r="F2" i="26"/>
  <c r="G16" i="25"/>
  <c r="G17" i="25"/>
  <c r="G15" i="25"/>
  <c r="G14" i="25"/>
  <c r="A4" i="26"/>
  <c r="A5" i="26" s="1"/>
  <c r="D5" i="26" s="1"/>
  <c r="C5" i="26" s="1"/>
  <c r="A3" i="26"/>
  <c r="D3" i="26" s="1"/>
  <c r="C3" i="26" s="1"/>
  <c r="D2" i="26"/>
  <c r="C2" i="26" s="1"/>
  <c r="E17" i="25"/>
  <c r="E16" i="25"/>
  <c r="E15" i="25"/>
  <c r="E14" i="25"/>
  <c r="E13" i="25"/>
  <c r="E12" i="25"/>
  <c r="E11" i="25"/>
  <c r="E10" i="25"/>
  <c r="E9" i="25"/>
  <c r="E8" i="25"/>
  <c r="E7" i="25"/>
  <c r="E6" i="25"/>
  <c r="E3" i="25"/>
  <c r="E4" i="25"/>
  <c r="E5" i="25"/>
  <c r="E2" i="25"/>
  <c r="B42" i="33" l="1"/>
  <c r="E41" i="33"/>
  <c r="D41" i="33" s="1"/>
  <c r="S19" i="14"/>
  <c r="M20" i="29"/>
  <c r="S17" i="14"/>
  <c r="M18" i="29"/>
  <c r="S11" i="14"/>
  <c r="M12" i="29"/>
  <c r="S7" i="14"/>
  <c r="M8" i="29"/>
  <c r="U19" i="14"/>
  <c r="O20" i="29"/>
  <c r="U15" i="14"/>
  <c r="O16" i="29"/>
  <c r="U11" i="14"/>
  <c r="O12" i="29"/>
  <c r="U7" i="14"/>
  <c r="O8" i="29"/>
  <c r="T20" i="14"/>
  <c r="N21" i="29"/>
  <c r="T18" i="14"/>
  <c r="N19" i="29"/>
  <c r="T16" i="14"/>
  <c r="N17" i="29"/>
  <c r="T14" i="14"/>
  <c r="N15" i="29"/>
  <c r="T12" i="14"/>
  <c r="N13" i="29"/>
  <c r="T10" i="14"/>
  <c r="N11" i="29"/>
  <c r="T8" i="14"/>
  <c r="N9" i="29"/>
  <c r="U18" i="14"/>
  <c r="O19" i="29"/>
  <c r="U14" i="14"/>
  <c r="O15" i="29"/>
  <c r="U10" i="14"/>
  <c r="O11" i="29"/>
  <c r="S13" i="14"/>
  <c r="M14" i="29"/>
  <c r="S20" i="14"/>
  <c r="M21" i="29"/>
  <c r="S18" i="14"/>
  <c r="M19" i="29"/>
  <c r="S16" i="14"/>
  <c r="M17" i="29"/>
  <c r="S14" i="14"/>
  <c r="M15" i="29"/>
  <c r="S12" i="14"/>
  <c r="M13" i="29"/>
  <c r="S10" i="14"/>
  <c r="M11" i="29"/>
  <c r="S8" i="14"/>
  <c r="M9" i="29"/>
  <c r="U17" i="14"/>
  <c r="O18" i="29"/>
  <c r="U13" i="14"/>
  <c r="O14" i="29"/>
  <c r="U9" i="14"/>
  <c r="O10" i="29"/>
  <c r="S15" i="14"/>
  <c r="M16" i="29"/>
  <c r="S9" i="14"/>
  <c r="M10" i="29"/>
  <c r="T19" i="14"/>
  <c r="N20" i="29"/>
  <c r="T17" i="14"/>
  <c r="N18" i="29"/>
  <c r="T15" i="14"/>
  <c r="N16" i="29"/>
  <c r="T13" i="14"/>
  <c r="N14" i="29"/>
  <c r="T11" i="14"/>
  <c r="N12" i="29"/>
  <c r="T9" i="14"/>
  <c r="N10" i="29"/>
  <c r="K10" i="29" s="1"/>
  <c r="P10" i="29" s="1"/>
  <c r="Q10" i="29" s="1"/>
  <c r="R10" i="29" s="1"/>
  <c r="S10" i="29" s="1"/>
  <c r="T7" i="14"/>
  <c r="N8" i="29"/>
  <c r="U20" i="14"/>
  <c r="O21" i="29"/>
  <c r="U16" i="14"/>
  <c r="O17" i="29"/>
  <c r="U12" i="14"/>
  <c r="O13" i="29"/>
  <c r="U8" i="14"/>
  <c r="O9" i="29"/>
  <c r="R11" i="14"/>
  <c r="L11" i="14"/>
  <c r="R19" i="14"/>
  <c r="L19" i="14"/>
  <c r="R15" i="14"/>
  <c r="L15" i="14"/>
  <c r="R7" i="14"/>
  <c r="L7" i="14"/>
  <c r="R9" i="14"/>
  <c r="Q9" i="14" s="1"/>
  <c r="L9" i="14"/>
  <c r="F35" i="29"/>
  <c r="G35" i="29" s="1"/>
  <c r="C36" i="29"/>
  <c r="E36" i="29"/>
  <c r="D36" i="29" s="1"/>
  <c r="B37" i="29"/>
  <c r="D32" i="28"/>
  <c r="E33" i="28"/>
  <c r="B34" i="28"/>
  <c r="E13" i="26"/>
  <c r="L18" i="29"/>
  <c r="E16" i="26"/>
  <c r="L21" i="29"/>
  <c r="E12" i="26"/>
  <c r="L17" i="29"/>
  <c r="E4" i="26"/>
  <c r="L9" i="29"/>
  <c r="K9" i="29" s="1"/>
  <c r="P9" i="29" s="1"/>
  <c r="Q9" i="29" s="1"/>
  <c r="R9" i="29" s="1"/>
  <c r="S9" i="29" s="1"/>
  <c r="E6" i="26"/>
  <c r="L11" i="29"/>
  <c r="E8" i="26"/>
  <c r="L13" i="29"/>
  <c r="K13" i="29" s="1"/>
  <c r="P13" i="29" s="1"/>
  <c r="Q13" i="29" s="1"/>
  <c r="R13" i="29" s="1"/>
  <c r="S13" i="29" s="1"/>
  <c r="E9" i="26"/>
  <c r="L14" i="29"/>
  <c r="E2" i="26"/>
  <c r="L7" i="29"/>
  <c r="E14" i="26"/>
  <c r="L19" i="29"/>
  <c r="E10" i="26"/>
  <c r="L15" i="29"/>
  <c r="K15" i="29" s="1"/>
  <c r="P15" i="29" s="1"/>
  <c r="Q15" i="29" s="1"/>
  <c r="R15" i="29" s="1"/>
  <c r="S15" i="29" s="1"/>
  <c r="E7" i="26"/>
  <c r="E15" i="26"/>
  <c r="E11" i="26"/>
  <c r="I19" i="26"/>
  <c r="F29" i="26"/>
  <c r="L34" i="29" s="1"/>
  <c r="E3" i="26"/>
  <c r="E5" i="26"/>
  <c r="F22" i="26"/>
  <c r="L27" i="29" s="1"/>
  <c r="F18" i="26"/>
  <c r="L23" i="29" s="1"/>
  <c r="F27" i="26"/>
  <c r="L32" i="29" s="1"/>
  <c r="F23" i="26"/>
  <c r="L28" i="29" s="1"/>
  <c r="F45" i="26"/>
  <c r="L50" i="29" s="1"/>
  <c r="F41" i="26"/>
  <c r="L46" i="29" s="1"/>
  <c r="F37" i="26"/>
  <c r="L42" i="29" s="1"/>
  <c r="F33" i="26"/>
  <c r="L38" i="29" s="1"/>
  <c r="F49" i="26"/>
  <c r="L54" i="29" s="1"/>
  <c r="F59" i="26"/>
  <c r="L64" i="29" s="1"/>
  <c r="F55" i="26"/>
  <c r="L60" i="29" s="1"/>
  <c r="F51" i="26"/>
  <c r="L56" i="29" s="1"/>
  <c r="H61" i="26"/>
  <c r="H59" i="26"/>
  <c r="H57" i="26"/>
  <c r="H55" i="26"/>
  <c r="H53" i="26"/>
  <c r="H51" i="26"/>
  <c r="H49" i="26"/>
  <c r="H47" i="26"/>
  <c r="H45" i="26"/>
  <c r="H43" i="26"/>
  <c r="H41" i="26"/>
  <c r="H39" i="26"/>
  <c r="H37" i="26"/>
  <c r="H35" i="26"/>
  <c r="H33" i="26"/>
  <c r="H31" i="26"/>
  <c r="H29" i="26"/>
  <c r="H27" i="26"/>
  <c r="H25" i="26"/>
  <c r="H23" i="26"/>
  <c r="H21" i="26"/>
  <c r="H19" i="26"/>
  <c r="H17" i="26"/>
  <c r="I62" i="26"/>
  <c r="I58" i="26"/>
  <c r="I54" i="26"/>
  <c r="I50" i="26"/>
  <c r="I46" i="26"/>
  <c r="I42" i="26"/>
  <c r="I38" i="26"/>
  <c r="I34" i="26"/>
  <c r="I30" i="26"/>
  <c r="I26" i="26"/>
  <c r="I22" i="26"/>
  <c r="I17" i="26"/>
  <c r="I18" i="26"/>
  <c r="F21" i="26"/>
  <c r="L26" i="29" s="1"/>
  <c r="F17" i="26"/>
  <c r="L22" i="29" s="1"/>
  <c r="F26" i="26"/>
  <c r="L31" i="29" s="1"/>
  <c r="F48" i="26"/>
  <c r="L53" i="29" s="1"/>
  <c r="F44" i="26"/>
  <c r="L49" i="29" s="1"/>
  <c r="F40" i="26"/>
  <c r="L45" i="29" s="1"/>
  <c r="F36" i="26"/>
  <c r="L41" i="29" s="1"/>
  <c r="F32" i="26"/>
  <c r="L37" i="29" s="1"/>
  <c r="F62" i="26"/>
  <c r="L67" i="29" s="1"/>
  <c r="F58" i="26"/>
  <c r="L63" i="29" s="1"/>
  <c r="F54" i="26"/>
  <c r="L59" i="29" s="1"/>
  <c r="F50" i="26"/>
  <c r="L55" i="29" s="1"/>
  <c r="G61" i="26"/>
  <c r="G59" i="26"/>
  <c r="G57" i="26"/>
  <c r="G55" i="26"/>
  <c r="G53" i="26"/>
  <c r="G51" i="26"/>
  <c r="G49" i="26"/>
  <c r="G47" i="26"/>
  <c r="G45" i="26"/>
  <c r="G43" i="26"/>
  <c r="G41" i="26"/>
  <c r="G39" i="26"/>
  <c r="G37" i="26"/>
  <c r="G35" i="26"/>
  <c r="G33" i="26"/>
  <c r="G31" i="26"/>
  <c r="G29" i="26"/>
  <c r="G27" i="26"/>
  <c r="G25" i="26"/>
  <c r="G23" i="26"/>
  <c r="G21" i="26"/>
  <c r="G19" i="26"/>
  <c r="G17" i="26"/>
  <c r="I61" i="26"/>
  <c r="I57" i="26"/>
  <c r="I53" i="26"/>
  <c r="I49" i="26"/>
  <c r="I45" i="26"/>
  <c r="I41" i="26"/>
  <c r="I37" i="26"/>
  <c r="I33" i="26"/>
  <c r="I29" i="26"/>
  <c r="I25" i="26"/>
  <c r="I21" i="26"/>
  <c r="F20" i="26"/>
  <c r="L25" i="29" s="1"/>
  <c r="F25" i="26"/>
  <c r="L30" i="29" s="1"/>
  <c r="F47" i="26"/>
  <c r="L52" i="29" s="1"/>
  <c r="F43" i="26"/>
  <c r="L48" i="29" s="1"/>
  <c r="F39" i="26"/>
  <c r="L44" i="29" s="1"/>
  <c r="F35" i="26"/>
  <c r="L40" i="29" s="1"/>
  <c r="F31" i="26"/>
  <c r="L36" i="29" s="1"/>
  <c r="F61" i="26"/>
  <c r="L66" i="29" s="1"/>
  <c r="F57" i="26"/>
  <c r="L62" i="29" s="1"/>
  <c r="F53" i="26"/>
  <c r="L58" i="29" s="1"/>
  <c r="H62" i="26"/>
  <c r="H60" i="26"/>
  <c r="H58" i="26"/>
  <c r="H56" i="26"/>
  <c r="H54" i="26"/>
  <c r="H52" i="26"/>
  <c r="H50" i="26"/>
  <c r="H48" i="26"/>
  <c r="H46" i="26"/>
  <c r="H44" i="26"/>
  <c r="H42" i="26"/>
  <c r="H40" i="26"/>
  <c r="H38" i="26"/>
  <c r="H36" i="26"/>
  <c r="H34" i="26"/>
  <c r="H32" i="26"/>
  <c r="H30" i="26"/>
  <c r="H28" i="26"/>
  <c r="H26" i="26"/>
  <c r="H24" i="26"/>
  <c r="H22" i="26"/>
  <c r="H20" i="26"/>
  <c r="H18" i="26"/>
  <c r="I60" i="26"/>
  <c r="I56" i="26"/>
  <c r="I52" i="26"/>
  <c r="I48" i="26"/>
  <c r="I44" i="26"/>
  <c r="I40" i="26"/>
  <c r="I36" i="26"/>
  <c r="I32" i="26"/>
  <c r="I28" i="26"/>
  <c r="I24" i="26"/>
  <c r="I20" i="26"/>
  <c r="F19" i="26"/>
  <c r="F28" i="26"/>
  <c r="L33" i="29" s="1"/>
  <c r="F24" i="26"/>
  <c r="L29" i="29" s="1"/>
  <c r="F46" i="26"/>
  <c r="L51" i="29" s="1"/>
  <c r="F42" i="26"/>
  <c r="L47" i="29" s="1"/>
  <c r="F38" i="26"/>
  <c r="L43" i="29" s="1"/>
  <c r="F34" i="26"/>
  <c r="L39" i="29" s="1"/>
  <c r="F30" i="26"/>
  <c r="L35" i="29" s="1"/>
  <c r="F60" i="26"/>
  <c r="L65" i="29" s="1"/>
  <c r="F56" i="26"/>
  <c r="L61" i="29" s="1"/>
  <c r="F52" i="26"/>
  <c r="L57" i="29" s="1"/>
  <c r="G62" i="26"/>
  <c r="G60" i="26"/>
  <c r="G58" i="26"/>
  <c r="G56" i="26"/>
  <c r="G54" i="26"/>
  <c r="G52" i="26"/>
  <c r="G50" i="26"/>
  <c r="G48" i="26"/>
  <c r="G46" i="26"/>
  <c r="G44" i="26"/>
  <c r="G42" i="26"/>
  <c r="G40" i="26"/>
  <c r="G38" i="26"/>
  <c r="G36" i="26"/>
  <c r="G34" i="26"/>
  <c r="G32" i="26"/>
  <c r="G30" i="26"/>
  <c r="G28" i="26"/>
  <c r="G26" i="26"/>
  <c r="G24" i="26"/>
  <c r="G22" i="26"/>
  <c r="G20" i="26"/>
  <c r="G18" i="26"/>
  <c r="I59" i="26"/>
  <c r="I55" i="26"/>
  <c r="I51" i="26"/>
  <c r="I47" i="26"/>
  <c r="I43" i="26"/>
  <c r="I39" i="26"/>
  <c r="I35" i="26"/>
  <c r="I31" i="26"/>
  <c r="I27" i="26"/>
  <c r="I23" i="26"/>
  <c r="A6" i="26"/>
  <c r="D4" i="26"/>
  <c r="C4" i="26" s="1"/>
  <c r="K21" i="29" l="1"/>
  <c r="P21" i="29" s="1"/>
  <c r="Q21" i="29" s="1"/>
  <c r="R21" i="29" s="1"/>
  <c r="S21" i="29" s="1"/>
  <c r="Q15" i="14"/>
  <c r="Q11" i="14"/>
  <c r="K11" i="29"/>
  <c r="P11" i="29" s="1"/>
  <c r="Q11" i="29" s="1"/>
  <c r="R11" i="29" s="1"/>
  <c r="S11" i="29" s="1"/>
  <c r="K20" i="29"/>
  <c r="P20" i="29" s="1"/>
  <c r="Q20" i="29" s="1"/>
  <c r="R20" i="29" s="1"/>
  <c r="S20" i="29" s="1"/>
  <c r="K19" i="29"/>
  <c r="P19" i="29" s="1"/>
  <c r="Q19" i="29" s="1"/>
  <c r="R19" i="29" s="1"/>
  <c r="S19" i="29" s="1"/>
  <c r="Q7" i="14"/>
  <c r="H8" i="33" s="1"/>
  <c r="Q19" i="14"/>
  <c r="H20" i="33" s="1"/>
  <c r="K12" i="29"/>
  <c r="P12" i="29" s="1"/>
  <c r="Q12" i="29" s="1"/>
  <c r="R12" i="29" s="1"/>
  <c r="S12" i="29" s="1"/>
  <c r="F8" i="33"/>
  <c r="F20" i="33"/>
  <c r="K16" i="29"/>
  <c r="P16" i="29" s="1"/>
  <c r="Q16" i="29" s="1"/>
  <c r="R16" i="29" s="1"/>
  <c r="S16" i="29" s="1"/>
  <c r="K14" i="29"/>
  <c r="P14" i="29" s="1"/>
  <c r="Q14" i="29" s="1"/>
  <c r="R14" i="29" s="1"/>
  <c r="S14" i="29" s="1"/>
  <c r="K17" i="29"/>
  <c r="P17" i="29" s="1"/>
  <c r="Q17" i="29" s="1"/>
  <c r="R17" i="29" s="1"/>
  <c r="S17" i="29" s="1"/>
  <c r="K8" i="29"/>
  <c r="K7" i="14" s="1"/>
  <c r="F10" i="33"/>
  <c r="K9" i="14"/>
  <c r="F16" i="33"/>
  <c r="F12" i="33"/>
  <c r="E42" i="33"/>
  <c r="D42" i="33" s="1"/>
  <c r="B43" i="33"/>
  <c r="U35" i="14"/>
  <c r="O36" i="29"/>
  <c r="S22" i="14"/>
  <c r="M23" i="29"/>
  <c r="S38" i="14"/>
  <c r="M39" i="29"/>
  <c r="U32" i="14"/>
  <c r="O33" i="29"/>
  <c r="U48" i="14"/>
  <c r="O49" i="29"/>
  <c r="T28" i="14"/>
  <c r="N29" i="29"/>
  <c r="T36" i="14"/>
  <c r="N37" i="29"/>
  <c r="T44" i="14"/>
  <c r="N45" i="29"/>
  <c r="T52" i="14"/>
  <c r="N53" i="29"/>
  <c r="T60" i="14"/>
  <c r="N61" i="29"/>
  <c r="U33" i="14"/>
  <c r="O34" i="29"/>
  <c r="U49" i="14"/>
  <c r="O50" i="29"/>
  <c r="S27" i="14"/>
  <c r="M28" i="29"/>
  <c r="S43" i="14"/>
  <c r="M44" i="29"/>
  <c r="U22" i="14"/>
  <c r="O23" i="29"/>
  <c r="U34" i="14"/>
  <c r="O35" i="29"/>
  <c r="U50" i="14"/>
  <c r="O51" i="29"/>
  <c r="U66" i="14"/>
  <c r="O67" i="29"/>
  <c r="T35" i="14"/>
  <c r="N36" i="29"/>
  <c r="T51" i="14"/>
  <c r="N52" i="29"/>
  <c r="U55" i="14"/>
  <c r="O56" i="29"/>
  <c r="S32" i="14"/>
  <c r="M33" i="29"/>
  <c r="S48" i="14"/>
  <c r="M49" i="29"/>
  <c r="S64" i="14"/>
  <c r="M65" i="29"/>
  <c r="U36" i="14"/>
  <c r="O37" i="29"/>
  <c r="T30" i="14"/>
  <c r="N31" i="29"/>
  <c r="T46" i="14"/>
  <c r="N47" i="29"/>
  <c r="T54" i="14"/>
  <c r="N55" i="29"/>
  <c r="T62" i="14"/>
  <c r="N63" i="29"/>
  <c r="U37" i="14"/>
  <c r="O38" i="29"/>
  <c r="U53" i="14"/>
  <c r="O54" i="29"/>
  <c r="S21" i="14"/>
  <c r="M22" i="29"/>
  <c r="S29" i="14"/>
  <c r="M30" i="29"/>
  <c r="S37" i="14"/>
  <c r="M38" i="29"/>
  <c r="S45" i="14"/>
  <c r="M46" i="29"/>
  <c r="S53" i="14"/>
  <c r="M54" i="29"/>
  <c r="S61" i="14"/>
  <c r="M62" i="29"/>
  <c r="U21" i="14"/>
  <c r="O22" i="29"/>
  <c r="U38" i="14"/>
  <c r="O39" i="29"/>
  <c r="U54" i="14"/>
  <c r="O55" i="29"/>
  <c r="T21" i="14"/>
  <c r="N22" i="29"/>
  <c r="T29" i="14"/>
  <c r="N30" i="29"/>
  <c r="T37" i="14"/>
  <c r="N38" i="29"/>
  <c r="T45" i="14"/>
  <c r="N46" i="29"/>
  <c r="T53" i="14"/>
  <c r="N54" i="29"/>
  <c r="T61" i="14"/>
  <c r="N62" i="29"/>
  <c r="K18" i="29"/>
  <c r="P18" i="29" s="1"/>
  <c r="Q18" i="29" s="1"/>
  <c r="R18" i="29" s="1"/>
  <c r="S18" i="29" s="1"/>
  <c r="U51" i="14"/>
  <c r="O52" i="29"/>
  <c r="S30" i="14"/>
  <c r="M31" i="29"/>
  <c r="S46" i="14"/>
  <c r="M47" i="29"/>
  <c r="S54" i="14"/>
  <c r="M55" i="29"/>
  <c r="S62" i="14"/>
  <c r="M63" i="29"/>
  <c r="U64" i="14"/>
  <c r="O65" i="29"/>
  <c r="U65" i="14"/>
  <c r="O66" i="29"/>
  <c r="S35" i="14"/>
  <c r="M36" i="29"/>
  <c r="S51" i="14"/>
  <c r="M52" i="29"/>
  <c r="S59" i="14"/>
  <c r="M60" i="29"/>
  <c r="U41" i="14"/>
  <c r="O42" i="29"/>
  <c r="U57" i="14"/>
  <c r="O58" i="29"/>
  <c r="S23" i="14"/>
  <c r="M24" i="29"/>
  <c r="S31" i="14"/>
  <c r="M32" i="29"/>
  <c r="S39" i="14"/>
  <c r="M40" i="29"/>
  <c r="S47" i="14"/>
  <c r="M48" i="29"/>
  <c r="S55" i="14"/>
  <c r="M56" i="29"/>
  <c r="S63" i="14"/>
  <c r="M64" i="29"/>
  <c r="U26" i="14"/>
  <c r="O27" i="29"/>
  <c r="U42" i="14"/>
  <c r="O43" i="29"/>
  <c r="U58" i="14"/>
  <c r="O59" i="29"/>
  <c r="T23" i="14"/>
  <c r="N24" i="29"/>
  <c r="T31" i="14"/>
  <c r="N32" i="29"/>
  <c r="T39" i="14"/>
  <c r="N40" i="29"/>
  <c r="T47" i="14"/>
  <c r="N48" i="29"/>
  <c r="T55" i="14"/>
  <c r="N56" i="29"/>
  <c r="T63" i="14"/>
  <c r="N64" i="29"/>
  <c r="H10" i="33"/>
  <c r="H16" i="33"/>
  <c r="H12" i="33"/>
  <c r="T27" i="14"/>
  <c r="N28" i="29"/>
  <c r="T43" i="14"/>
  <c r="N44" i="29"/>
  <c r="T59" i="14"/>
  <c r="N60" i="29"/>
  <c r="U39" i="14"/>
  <c r="O40" i="29"/>
  <c r="S24" i="14"/>
  <c r="M25" i="29"/>
  <c r="S40" i="14"/>
  <c r="M41" i="29"/>
  <c r="S56" i="14"/>
  <c r="M57" i="29"/>
  <c r="U52" i="14"/>
  <c r="O53" i="29"/>
  <c r="T22" i="14"/>
  <c r="N23" i="29"/>
  <c r="T38" i="14"/>
  <c r="N39" i="29"/>
  <c r="U27" i="14"/>
  <c r="O28" i="29"/>
  <c r="U43" i="14"/>
  <c r="O44" i="29"/>
  <c r="U59" i="14"/>
  <c r="O60" i="29"/>
  <c r="S26" i="14"/>
  <c r="M27" i="29"/>
  <c r="S34" i="14"/>
  <c r="M35" i="29"/>
  <c r="S42" i="14"/>
  <c r="M43" i="29"/>
  <c r="S50" i="14"/>
  <c r="M51" i="29"/>
  <c r="S58" i="14"/>
  <c r="M59" i="29"/>
  <c r="S66" i="14"/>
  <c r="M67" i="29"/>
  <c r="U24" i="14"/>
  <c r="O25" i="29"/>
  <c r="U40" i="14"/>
  <c r="O41" i="29"/>
  <c r="U56" i="14"/>
  <c r="O57" i="29"/>
  <c r="T24" i="14"/>
  <c r="N25" i="29"/>
  <c r="T32" i="14"/>
  <c r="N33" i="29"/>
  <c r="T40" i="14"/>
  <c r="N41" i="29"/>
  <c r="T48" i="14"/>
  <c r="N49" i="29"/>
  <c r="T56" i="14"/>
  <c r="N57" i="29"/>
  <c r="T64" i="14"/>
  <c r="N65" i="29"/>
  <c r="U25" i="14"/>
  <c r="O26" i="29"/>
  <c r="U31" i="14"/>
  <c r="O32" i="29"/>
  <c r="U47" i="14"/>
  <c r="O48" i="29"/>
  <c r="U63" i="14"/>
  <c r="O64" i="29"/>
  <c r="S28" i="14"/>
  <c r="M29" i="29"/>
  <c r="S36" i="14"/>
  <c r="M37" i="29"/>
  <c r="S44" i="14"/>
  <c r="M45" i="29"/>
  <c r="S52" i="14"/>
  <c r="M53" i="29"/>
  <c r="S60" i="14"/>
  <c r="M61" i="29"/>
  <c r="U28" i="14"/>
  <c r="O29" i="29"/>
  <c r="U44" i="14"/>
  <c r="O45" i="29"/>
  <c r="U60" i="14"/>
  <c r="O61" i="29"/>
  <c r="T26" i="14"/>
  <c r="N27" i="29"/>
  <c r="T34" i="14"/>
  <c r="N35" i="29"/>
  <c r="T42" i="14"/>
  <c r="N43" i="29"/>
  <c r="T50" i="14"/>
  <c r="N51" i="29"/>
  <c r="T58" i="14"/>
  <c r="N59" i="29"/>
  <c r="T66" i="14"/>
  <c r="N67" i="29"/>
  <c r="K52" i="29"/>
  <c r="P52" i="29" s="1"/>
  <c r="Q52" i="29" s="1"/>
  <c r="R52" i="29" s="1"/>
  <c r="S52" i="29" s="1"/>
  <c r="U29" i="14"/>
  <c r="O30" i="29"/>
  <c r="U45" i="14"/>
  <c r="O46" i="29"/>
  <c r="U61" i="14"/>
  <c r="O62" i="29"/>
  <c r="S25" i="14"/>
  <c r="M26" i="29"/>
  <c r="S41" i="14"/>
  <c r="M42" i="29"/>
  <c r="S49" i="14"/>
  <c r="M50" i="29"/>
  <c r="S57" i="14"/>
  <c r="M58" i="29"/>
  <c r="S65" i="14"/>
  <c r="M66" i="29"/>
  <c r="U30" i="14"/>
  <c r="O31" i="29"/>
  <c r="U46" i="14"/>
  <c r="O47" i="29"/>
  <c r="U62" i="14"/>
  <c r="O63" i="29"/>
  <c r="T25" i="14"/>
  <c r="N26" i="29"/>
  <c r="T33" i="14"/>
  <c r="N34" i="29"/>
  <c r="T41" i="14"/>
  <c r="N42" i="29"/>
  <c r="T49" i="14"/>
  <c r="N50" i="29"/>
  <c r="T57" i="14"/>
  <c r="N58" i="29"/>
  <c r="T65" i="14"/>
  <c r="N66" i="29"/>
  <c r="U23" i="14"/>
  <c r="O24" i="29"/>
  <c r="R38" i="14"/>
  <c r="L38" i="14"/>
  <c r="R28" i="14"/>
  <c r="L28" i="14"/>
  <c r="R35" i="14"/>
  <c r="L35" i="14"/>
  <c r="R48" i="14"/>
  <c r="L48" i="14"/>
  <c r="R49" i="14"/>
  <c r="L49" i="14"/>
  <c r="R12" i="14"/>
  <c r="L12" i="14"/>
  <c r="R20" i="14"/>
  <c r="L20" i="14"/>
  <c r="R60" i="14"/>
  <c r="L60" i="14"/>
  <c r="R42" i="14"/>
  <c r="L42" i="14"/>
  <c r="R32" i="14"/>
  <c r="L32" i="14"/>
  <c r="R57" i="14"/>
  <c r="L57" i="14"/>
  <c r="R39" i="14"/>
  <c r="L39" i="14"/>
  <c r="R29" i="14"/>
  <c r="L29" i="14"/>
  <c r="R54" i="14"/>
  <c r="L54" i="14"/>
  <c r="R36" i="14"/>
  <c r="L36" i="14"/>
  <c r="R52" i="14"/>
  <c r="L52" i="14"/>
  <c r="R55" i="14"/>
  <c r="L55" i="14"/>
  <c r="R37" i="14"/>
  <c r="L37" i="14"/>
  <c r="R27" i="14"/>
  <c r="L27" i="14"/>
  <c r="R56" i="14"/>
  <c r="L56" i="14"/>
  <c r="R64" i="14"/>
  <c r="L64" i="14"/>
  <c r="R46" i="14"/>
  <c r="L46" i="14"/>
  <c r="R61" i="14"/>
  <c r="L61" i="14"/>
  <c r="R43" i="14"/>
  <c r="L43" i="14"/>
  <c r="R24" i="14"/>
  <c r="L24" i="14"/>
  <c r="R58" i="14"/>
  <c r="L58" i="14"/>
  <c r="R40" i="14"/>
  <c r="L40" i="14"/>
  <c r="R30" i="14"/>
  <c r="L30" i="14"/>
  <c r="R59" i="14"/>
  <c r="L59" i="14"/>
  <c r="R41" i="14"/>
  <c r="L41" i="14"/>
  <c r="R31" i="14"/>
  <c r="L31" i="14"/>
  <c r="R18" i="14"/>
  <c r="L18" i="14"/>
  <c r="R13" i="14"/>
  <c r="L13" i="14"/>
  <c r="R10" i="14"/>
  <c r="L10" i="14"/>
  <c r="R16" i="14"/>
  <c r="L16" i="14"/>
  <c r="R17" i="14"/>
  <c r="L17" i="14"/>
  <c r="R51" i="14"/>
  <c r="L51" i="14"/>
  <c r="R66" i="14"/>
  <c r="L66" i="14"/>
  <c r="R25" i="14"/>
  <c r="L25" i="14"/>
  <c r="R53" i="14"/>
  <c r="L53" i="14"/>
  <c r="R26" i="14"/>
  <c r="L26" i="14"/>
  <c r="R14" i="14"/>
  <c r="L14" i="14"/>
  <c r="R8" i="14"/>
  <c r="L8" i="14"/>
  <c r="R34" i="14"/>
  <c r="L34" i="14"/>
  <c r="R50" i="14"/>
  <c r="L50" i="14"/>
  <c r="R65" i="14"/>
  <c r="L65" i="14"/>
  <c r="R47" i="14"/>
  <c r="L47" i="14"/>
  <c r="R62" i="14"/>
  <c r="L62" i="14"/>
  <c r="R44" i="14"/>
  <c r="L44" i="14"/>
  <c r="R21" i="14"/>
  <c r="L21" i="14"/>
  <c r="R63" i="14"/>
  <c r="L63" i="14"/>
  <c r="R45" i="14"/>
  <c r="L45" i="14"/>
  <c r="R22" i="14"/>
  <c r="L22" i="14"/>
  <c r="R33" i="14"/>
  <c r="E37" i="29"/>
  <c r="D37" i="29" s="1"/>
  <c r="B38" i="29"/>
  <c r="F36" i="29"/>
  <c r="G36" i="29" s="1"/>
  <c r="C37" i="29"/>
  <c r="D33" i="28"/>
  <c r="B35" i="28"/>
  <c r="E34" i="28"/>
  <c r="E19" i="26"/>
  <c r="L24" i="29"/>
  <c r="E29" i="26"/>
  <c r="E56" i="26"/>
  <c r="E38" i="26"/>
  <c r="E28" i="26"/>
  <c r="E53" i="26"/>
  <c r="E25" i="26"/>
  <c r="E57" i="26"/>
  <c r="E60" i="26"/>
  <c r="E42" i="26"/>
  <c r="E39" i="26"/>
  <c r="E20" i="26"/>
  <c r="E54" i="26"/>
  <c r="E36" i="26"/>
  <c r="E26" i="26"/>
  <c r="E55" i="26"/>
  <c r="E37" i="26"/>
  <c r="E27" i="26"/>
  <c r="E30" i="26"/>
  <c r="E46" i="26"/>
  <c r="E61" i="26"/>
  <c r="E43" i="26"/>
  <c r="E58" i="26"/>
  <c r="E40" i="26"/>
  <c r="E17" i="26"/>
  <c r="E59" i="26"/>
  <c r="E41" i="26"/>
  <c r="E18" i="26"/>
  <c r="E52" i="26"/>
  <c r="E34" i="26"/>
  <c r="E24" i="26"/>
  <c r="E31" i="26"/>
  <c r="E47" i="26"/>
  <c r="E62" i="26"/>
  <c r="E44" i="26"/>
  <c r="E21" i="26"/>
  <c r="E49" i="26"/>
  <c r="E45" i="26"/>
  <c r="E22" i="26"/>
  <c r="E35" i="26"/>
  <c r="E50" i="26"/>
  <c r="E32" i="26"/>
  <c r="E48" i="26"/>
  <c r="E51" i="26"/>
  <c r="E33" i="26"/>
  <c r="E23" i="26"/>
  <c r="D6" i="26"/>
  <c r="C6" i="26" s="1"/>
  <c r="A7" i="26"/>
  <c r="J14" i="4"/>
  <c r="K14" i="4"/>
  <c r="C6" i="24"/>
  <c r="B8" i="23"/>
  <c r="E7" i="23"/>
  <c r="D7" i="23" s="1"/>
  <c r="Q45" i="14" l="1"/>
  <c r="Q32" i="14"/>
  <c r="K22" i="29"/>
  <c r="P22" i="29" s="1"/>
  <c r="Q22" i="29" s="1"/>
  <c r="R22" i="29" s="1"/>
  <c r="S22" i="29" s="1"/>
  <c r="K63" i="29"/>
  <c r="P63" i="29" s="1"/>
  <c r="Q63" i="29" s="1"/>
  <c r="R63" i="29" s="1"/>
  <c r="S63" i="29" s="1"/>
  <c r="K54" i="29"/>
  <c r="P54" i="29" s="1"/>
  <c r="Q54" i="29" s="1"/>
  <c r="R54" i="29" s="1"/>
  <c r="S54" i="29" s="1"/>
  <c r="K38" i="29"/>
  <c r="P38" i="29" s="1"/>
  <c r="Q38" i="29" s="1"/>
  <c r="R38" i="29" s="1"/>
  <c r="S38" i="29" s="1"/>
  <c r="K36" i="29"/>
  <c r="P36" i="29" s="1"/>
  <c r="Q36" i="29" s="1"/>
  <c r="R36" i="29" s="1"/>
  <c r="S36" i="29" s="1"/>
  <c r="K15" i="14"/>
  <c r="K19" i="14"/>
  <c r="Q34" i="14"/>
  <c r="H35" i="33" s="1"/>
  <c r="Q66" i="14"/>
  <c r="Q58" i="14"/>
  <c r="Q54" i="14"/>
  <c r="K65" i="29"/>
  <c r="P65" i="29" s="1"/>
  <c r="Q65" i="29" s="1"/>
  <c r="R65" i="29" s="1"/>
  <c r="S65" i="29" s="1"/>
  <c r="K33" i="29"/>
  <c r="P33" i="29" s="1"/>
  <c r="Q33" i="29" s="1"/>
  <c r="R33" i="29" s="1"/>
  <c r="S33" i="29" s="1"/>
  <c r="Q64" i="14"/>
  <c r="K29" i="29"/>
  <c r="P29" i="29" s="1"/>
  <c r="Q29" i="29" s="1"/>
  <c r="R29" i="29" s="1"/>
  <c r="S29" i="29" s="1"/>
  <c r="K55" i="29"/>
  <c r="P55" i="29" s="1"/>
  <c r="Q55" i="29" s="1"/>
  <c r="R55" i="29" s="1"/>
  <c r="S55" i="29" s="1"/>
  <c r="K11" i="14"/>
  <c r="K61" i="29"/>
  <c r="P61" i="29" s="1"/>
  <c r="Q61" i="29" s="1"/>
  <c r="R61" i="29" s="1"/>
  <c r="S61" i="29" s="1"/>
  <c r="K45" i="29"/>
  <c r="P45" i="29" s="1"/>
  <c r="Q45" i="29" s="1"/>
  <c r="R45" i="29" s="1"/>
  <c r="S45" i="29" s="1"/>
  <c r="K48" i="29"/>
  <c r="P48" i="29" s="1"/>
  <c r="Q48" i="29" s="1"/>
  <c r="R48" i="29" s="1"/>
  <c r="S48" i="29" s="1"/>
  <c r="Q65" i="14"/>
  <c r="Q41" i="14"/>
  <c r="H42" i="33" s="1"/>
  <c r="Q43" i="14"/>
  <c r="Q56" i="14"/>
  <c r="Q60" i="14"/>
  <c r="Q48" i="14"/>
  <c r="Q52" i="14"/>
  <c r="K58" i="29"/>
  <c r="P58" i="29" s="1"/>
  <c r="Q58" i="29" s="1"/>
  <c r="R58" i="29" s="1"/>
  <c r="S58" i="29" s="1"/>
  <c r="K42" i="29"/>
  <c r="P42" i="29" s="1"/>
  <c r="Q42" i="29" s="1"/>
  <c r="R42" i="29" s="1"/>
  <c r="S42" i="29" s="1"/>
  <c r="K59" i="29"/>
  <c r="P59" i="29" s="1"/>
  <c r="Q59" i="29" s="1"/>
  <c r="R59" i="29" s="1"/>
  <c r="S59" i="29" s="1"/>
  <c r="K43" i="29"/>
  <c r="P43" i="29" s="1"/>
  <c r="Q43" i="29" s="1"/>
  <c r="R43" i="29" s="1"/>
  <c r="S43" i="29" s="1"/>
  <c r="K27" i="29"/>
  <c r="P27" i="29" s="1"/>
  <c r="S27" i="29" s="1"/>
  <c r="Q53" i="14"/>
  <c r="Q37" i="14"/>
  <c r="H38" i="33" s="1"/>
  <c r="Q26" i="14"/>
  <c r="Q57" i="14"/>
  <c r="Q42" i="14"/>
  <c r="H43" i="33" s="1"/>
  <c r="K62" i="29"/>
  <c r="P62" i="29" s="1"/>
  <c r="Q62" i="29" s="1"/>
  <c r="R62" i="29" s="1"/>
  <c r="S62" i="29" s="1"/>
  <c r="K46" i="29"/>
  <c r="P46" i="29" s="1"/>
  <c r="Q46" i="29" s="1"/>
  <c r="R46" i="29" s="1"/>
  <c r="S46" i="29" s="1"/>
  <c r="K49" i="29"/>
  <c r="P49" i="29" s="1"/>
  <c r="Q49" i="29" s="1"/>
  <c r="R49" i="29" s="1"/>
  <c r="S49" i="29" s="1"/>
  <c r="K28" i="29"/>
  <c r="P28" i="29" s="1"/>
  <c r="Q28" i="29" s="1"/>
  <c r="R28" i="29" s="1"/>
  <c r="S28" i="29" s="1"/>
  <c r="Q21" i="14"/>
  <c r="H22" i="33" s="1"/>
  <c r="Q46" i="14"/>
  <c r="K50" i="29"/>
  <c r="P50" i="29" s="1"/>
  <c r="Q50" i="29" s="1"/>
  <c r="R50" i="29" s="1"/>
  <c r="S50" i="29" s="1"/>
  <c r="Q22" i="14"/>
  <c r="H23" i="33" s="1"/>
  <c r="Q63" i="14"/>
  <c r="Q44" i="14"/>
  <c r="Q47" i="14"/>
  <c r="Q50" i="14"/>
  <c r="Q25" i="14"/>
  <c r="H26" i="33" s="1"/>
  <c r="Q51" i="14"/>
  <c r="Q59" i="14"/>
  <c r="Q24" i="14"/>
  <c r="H25" i="33" s="1"/>
  <c r="Q61" i="14"/>
  <c r="Q55" i="14"/>
  <c r="Q49" i="14"/>
  <c r="K39" i="29"/>
  <c r="P39" i="29" s="1"/>
  <c r="Q39" i="29" s="1"/>
  <c r="R39" i="29" s="1"/>
  <c r="S39" i="29" s="1"/>
  <c r="Q62" i="14"/>
  <c r="Q39" i="14"/>
  <c r="K51" i="14"/>
  <c r="K67" i="29"/>
  <c r="P67" i="29" s="1"/>
  <c r="Q67" i="29" s="1"/>
  <c r="R67" i="29" s="1"/>
  <c r="S67" i="29" s="1"/>
  <c r="K51" i="29"/>
  <c r="P51" i="29" s="1"/>
  <c r="Q51" i="29" s="1"/>
  <c r="R51" i="29" s="1"/>
  <c r="S51" i="29" s="1"/>
  <c r="Q31" i="14"/>
  <c r="H32" i="33" s="1"/>
  <c r="Q40" i="14"/>
  <c r="H41" i="33" s="1"/>
  <c r="Q27" i="14"/>
  <c r="H28" i="33" s="1"/>
  <c r="Q36" i="14"/>
  <c r="H37" i="33" s="1"/>
  <c r="Q29" i="14"/>
  <c r="H30" i="33" s="1"/>
  <c r="Q20" i="14"/>
  <c r="H21" i="33" s="1"/>
  <c r="Q35" i="14"/>
  <c r="H36" i="33" s="1"/>
  <c r="Q38" i="14"/>
  <c r="H39" i="33" s="1"/>
  <c r="Q30" i="14"/>
  <c r="H31" i="33" s="1"/>
  <c r="Q28" i="14"/>
  <c r="H29" i="33" s="1"/>
  <c r="G8" i="33"/>
  <c r="R8" i="33" s="1"/>
  <c r="S8" i="33" s="1"/>
  <c r="T8" i="33" s="1"/>
  <c r="Q14" i="14"/>
  <c r="H15" i="33" s="1"/>
  <c r="Q17" i="14"/>
  <c r="H18" i="33" s="1"/>
  <c r="Q10" i="14"/>
  <c r="H11" i="33" s="1"/>
  <c r="Q18" i="14"/>
  <c r="H19" i="33" s="1"/>
  <c r="Q12" i="14"/>
  <c r="H13" i="33" s="1"/>
  <c r="G20" i="33"/>
  <c r="R20" i="33" s="1"/>
  <c r="S20" i="33" s="1"/>
  <c r="Q8" i="14"/>
  <c r="H9" i="33" s="1"/>
  <c r="Q16" i="14"/>
  <c r="H17" i="33" s="1"/>
  <c r="Q13" i="14"/>
  <c r="H14" i="33" s="1"/>
  <c r="F22" i="33"/>
  <c r="K18" i="14"/>
  <c r="F19" i="33"/>
  <c r="H40" i="33"/>
  <c r="K41" i="29"/>
  <c r="P41" i="29" s="1"/>
  <c r="Q41" i="29" s="1"/>
  <c r="R41" i="29" s="1"/>
  <c r="S41" i="29" s="1"/>
  <c r="K32" i="29"/>
  <c r="P32" i="29" s="1"/>
  <c r="Q32" i="29" s="1"/>
  <c r="R32" i="29" s="1"/>
  <c r="S32" i="29" s="1"/>
  <c r="K60" i="29"/>
  <c r="P60" i="29" s="1"/>
  <c r="Q60" i="29" s="1"/>
  <c r="R60" i="29" s="1"/>
  <c r="S60" i="29" s="1"/>
  <c r="K31" i="29"/>
  <c r="P31" i="29" s="1"/>
  <c r="Q31" i="29" s="1"/>
  <c r="R31" i="29" s="1"/>
  <c r="S31" i="29" s="1"/>
  <c r="F35" i="33"/>
  <c r="F38" i="33"/>
  <c r="F40" i="33"/>
  <c r="F29" i="33"/>
  <c r="G10" i="33"/>
  <c r="R10" i="33" s="1"/>
  <c r="S10" i="33" s="1"/>
  <c r="H33" i="33"/>
  <c r="F23" i="33"/>
  <c r="F9" i="33"/>
  <c r="K8" i="14"/>
  <c r="F27" i="33"/>
  <c r="F26" i="33"/>
  <c r="K16" i="14"/>
  <c r="F17" i="33"/>
  <c r="K13" i="14"/>
  <c r="F14" i="33"/>
  <c r="F32" i="33"/>
  <c r="F41" i="33"/>
  <c r="F25" i="33"/>
  <c r="F28" i="33"/>
  <c r="F37" i="33"/>
  <c r="F30" i="33"/>
  <c r="K42" i="14"/>
  <c r="K20" i="14"/>
  <c r="F21" i="33"/>
  <c r="F36" i="33"/>
  <c r="F39" i="33"/>
  <c r="K26" i="29"/>
  <c r="P26" i="29" s="1"/>
  <c r="Q26" i="29" s="1"/>
  <c r="R26" i="29" s="1"/>
  <c r="K53" i="29"/>
  <c r="P53" i="29" s="1"/>
  <c r="Q53" i="29" s="1"/>
  <c r="R53" i="29" s="1"/>
  <c r="S53" i="29" s="1"/>
  <c r="K37" i="29"/>
  <c r="P37" i="29" s="1"/>
  <c r="Q37" i="29" s="1"/>
  <c r="R37" i="29" s="1"/>
  <c r="S37" i="29" s="1"/>
  <c r="K35" i="29"/>
  <c r="P35" i="29" s="1"/>
  <c r="Q35" i="29" s="1"/>
  <c r="R35" i="29" s="1"/>
  <c r="S35" i="29" s="1"/>
  <c r="K44" i="29"/>
  <c r="P44" i="29" s="1"/>
  <c r="Q44" i="29" s="1"/>
  <c r="R44" i="29" s="1"/>
  <c r="S44" i="29" s="1"/>
  <c r="G12" i="33"/>
  <c r="R12" i="33" s="1"/>
  <c r="S12" i="33" s="1"/>
  <c r="K64" i="29"/>
  <c r="P64" i="29" s="1"/>
  <c r="Q64" i="29" s="1"/>
  <c r="R64" i="29" s="1"/>
  <c r="S64" i="29" s="1"/>
  <c r="K30" i="29"/>
  <c r="P30" i="29" s="1"/>
  <c r="Q30" i="29" s="1"/>
  <c r="R30" i="29" s="1"/>
  <c r="S30" i="29" s="1"/>
  <c r="F42" i="33"/>
  <c r="P8" i="29"/>
  <c r="Q8" i="29" s="1"/>
  <c r="R8" i="29" s="1"/>
  <c r="S8" i="29" s="1"/>
  <c r="D33" i="16"/>
  <c r="K14" i="14"/>
  <c r="F15" i="33"/>
  <c r="K17" i="14"/>
  <c r="F18" i="33"/>
  <c r="F11" i="33"/>
  <c r="K10" i="14"/>
  <c r="F31" i="33"/>
  <c r="F33" i="33"/>
  <c r="F13" i="33"/>
  <c r="K12" i="14"/>
  <c r="H27" i="33"/>
  <c r="K66" i="29"/>
  <c r="P66" i="29" s="1"/>
  <c r="Q66" i="29" s="1"/>
  <c r="R66" i="29" s="1"/>
  <c r="S66" i="29" s="1"/>
  <c r="K57" i="29"/>
  <c r="P57" i="29" s="1"/>
  <c r="Q57" i="29" s="1"/>
  <c r="R57" i="29" s="1"/>
  <c r="S57" i="29" s="1"/>
  <c r="K25" i="29"/>
  <c r="P25" i="29" s="1"/>
  <c r="Q25" i="29" s="1"/>
  <c r="R25" i="29" s="1"/>
  <c r="S25" i="29" s="1"/>
  <c r="G16" i="33"/>
  <c r="R16" i="33" s="1"/>
  <c r="S16" i="33" s="1"/>
  <c r="K56" i="29"/>
  <c r="P56" i="29" s="1"/>
  <c r="Q56" i="29" s="1"/>
  <c r="R56" i="29" s="1"/>
  <c r="S56" i="29" s="1"/>
  <c r="K40" i="29"/>
  <c r="P40" i="29" s="1"/>
  <c r="Q40" i="29" s="1"/>
  <c r="R40" i="29" s="1"/>
  <c r="S40" i="29" s="1"/>
  <c r="K47" i="29"/>
  <c r="P47" i="29" s="1"/>
  <c r="Q47" i="29" s="1"/>
  <c r="R47" i="29" s="1"/>
  <c r="S47" i="29" s="1"/>
  <c r="K23" i="29"/>
  <c r="P23" i="29" s="1"/>
  <c r="Q23" i="29" s="1"/>
  <c r="R23" i="29" s="1"/>
  <c r="S23" i="29" s="1"/>
  <c r="E43" i="33"/>
  <c r="D43" i="33" s="1"/>
  <c r="B44" i="33"/>
  <c r="F43" i="33"/>
  <c r="K24" i="29"/>
  <c r="P24" i="29" s="1"/>
  <c r="Q24" i="29" s="1"/>
  <c r="R24" i="29" s="1"/>
  <c r="S24" i="29" s="1"/>
  <c r="S33" i="14"/>
  <c r="M34" i="29"/>
  <c r="K34" i="29" s="1"/>
  <c r="P34" i="29" s="1"/>
  <c r="Q34" i="29" s="1"/>
  <c r="R34" i="29" s="1"/>
  <c r="S34" i="29" s="1"/>
  <c r="R23" i="14"/>
  <c r="L23" i="14"/>
  <c r="L33" i="14"/>
  <c r="B39" i="29"/>
  <c r="E38" i="29"/>
  <c r="D38" i="29" s="1"/>
  <c r="C38" i="29"/>
  <c r="F37" i="29"/>
  <c r="G37" i="29" s="1"/>
  <c r="B9" i="23"/>
  <c r="D34" i="28"/>
  <c r="B36" i="28"/>
  <c r="E35" i="28"/>
  <c r="D7" i="26"/>
  <c r="C7" i="26" s="1"/>
  <c r="A8" i="26"/>
  <c r="D6" i="24"/>
  <c r="E8" i="23"/>
  <c r="D8" i="23" s="1"/>
  <c r="B10" i="23"/>
  <c r="E9" i="23"/>
  <c r="D9" i="23" s="1"/>
  <c r="P11" i="33" l="1"/>
  <c r="P17" i="33"/>
  <c r="P13" i="33"/>
  <c r="Q8" i="33"/>
  <c r="W8" i="33" s="1"/>
  <c r="P9" i="33"/>
  <c r="P21" i="33"/>
  <c r="K61" i="14"/>
  <c r="K21" i="14"/>
  <c r="K50" i="14"/>
  <c r="K35" i="14"/>
  <c r="K62" i="14"/>
  <c r="K54" i="14"/>
  <c r="K32" i="14"/>
  <c r="K37" i="14"/>
  <c r="K60" i="14"/>
  <c r="K28" i="14"/>
  <c r="K53" i="14"/>
  <c r="K41" i="14"/>
  <c r="K58" i="14"/>
  <c r="K64" i="14"/>
  <c r="K44" i="14"/>
  <c r="K47" i="14"/>
  <c r="K45" i="14"/>
  <c r="K66" i="14"/>
  <c r="K26" i="14"/>
  <c r="K38" i="14"/>
  <c r="K57" i="14"/>
  <c r="K27" i="14"/>
  <c r="K48" i="14"/>
  <c r="G15" i="33"/>
  <c r="R15" i="33" s="1"/>
  <c r="S15" i="33" s="1"/>
  <c r="G13" i="33"/>
  <c r="R13" i="33" s="1"/>
  <c r="S13" i="33" s="1"/>
  <c r="T13" i="33" s="1"/>
  <c r="G30" i="33"/>
  <c r="R30" i="33" s="1"/>
  <c r="S30" i="33" s="1"/>
  <c r="G32" i="33"/>
  <c r="R32" i="33" s="1"/>
  <c r="S32" i="33" s="1"/>
  <c r="G36" i="33"/>
  <c r="R36" i="33" s="1"/>
  <c r="S36" i="33" s="1"/>
  <c r="K31" i="14"/>
  <c r="K52" i="14"/>
  <c r="K49" i="14"/>
  <c r="K40" i="14"/>
  <c r="K22" i="14"/>
  <c r="Q33" i="14"/>
  <c r="H34" i="33" s="1"/>
  <c r="G11" i="33"/>
  <c r="R11" i="33" s="1"/>
  <c r="S11" i="33" s="1"/>
  <c r="T12" i="33" s="1"/>
  <c r="G42" i="33"/>
  <c r="R42" i="33" s="1"/>
  <c r="S42" i="33" s="1"/>
  <c r="G28" i="33"/>
  <c r="R28" i="33" s="1"/>
  <c r="S28" i="33" s="1"/>
  <c r="G14" i="33"/>
  <c r="R14" i="33" s="1"/>
  <c r="S14" i="33" s="1"/>
  <c r="G9" i="33"/>
  <c r="R9" i="33" s="1"/>
  <c r="S9" i="33" s="1"/>
  <c r="T9" i="33" s="1"/>
  <c r="G17" i="33"/>
  <c r="R17" i="33" s="1"/>
  <c r="S17" i="33" s="1"/>
  <c r="T17" i="33" s="1"/>
  <c r="G39" i="33"/>
  <c r="R39" i="33" s="1"/>
  <c r="S39" i="33" s="1"/>
  <c r="G21" i="33"/>
  <c r="R21" i="33" s="1"/>
  <c r="S21" i="33" s="1"/>
  <c r="T21" i="33" s="1"/>
  <c r="G41" i="33"/>
  <c r="R41" i="33" s="1"/>
  <c r="S41" i="33" s="1"/>
  <c r="G31" i="33"/>
  <c r="R31" i="33" s="1"/>
  <c r="S31" i="33" s="1"/>
  <c r="E33" i="16"/>
  <c r="F33" i="16" s="1"/>
  <c r="G33" i="16" s="1"/>
  <c r="H33" i="16" s="1"/>
  <c r="I33" i="16" s="1"/>
  <c r="G19" i="33"/>
  <c r="R19" i="33" s="1"/>
  <c r="S19" i="33" s="1"/>
  <c r="T19" i="33" s="1"/>
  <c r="G29" i="33"/>
  <c r="R29" i="33" s="1"/>
  <c r="S29" i="33" s="1"/>
  <c r="Q23" i="14"/>
  <c r="H24" i="33" s="1"/>
  <c r="K30" i="14"/>
  <c r="G37" i="33"/>
  <c r="R37" i="33" s="1"/>
  <c r="S37" i="33" s="1"/>
  <c r="T37" i="33" s="1"/>
  <c r="G18" i="33"/>
  <c r="R18" i="33" s="1"/>
  <c r="S18" i="33" s="1"/>
  <c r="G35" i="33"/>
  <c r="R35" i="33" s="1"/>
  <c r="S35" i="33" s="1"/>
  <c r="G25" i="33"/>
  <c r="R25" i="33" s="1"/>
  <c r="S25" i="33" s="1"/>
  <c r="G40" i="33"/>
  <c r="R40" i="33" s="1"/>
  <c r="S40" i="33" s="1"/>
  <c r="K33" i="14"/>
  <c r="F34" i="33"/>
  <c r="G27" i="33"/>
  <c r="R27" i="33" s="1"/>
  <c r="S27" i="33" s="1"/>
  <c r="K46" i="14"/>
  <c r="K36" i="14"/>
  <c r="G33" i="33"/>
  <c r="R33" i="33" s="1"/>
  <c r="S33" i="33" s="1"/>
  <c r="T33" i="33" s="1"/>
  <c r="K34" i="14"/>
  <c r="K43" i="14"/>
  <c r="G26" i="33"/>
  <c r="R26" i="33" s="1"/>
  <c r="S26" i="33" s="1"/>
  <c r="K23" i="14"/>
  <c r="F24" i="33"/>
  <c r="G38" i="33"/>
  <c r="R38" i="33" s="1"/>
  <c r="S38" i="33" s="1"/>
  <c r="T38" i="33" s="1"/>
  <c r="K65" i="14"/>
  <c r="K55" i="14"/>
  <c r="K59" i="14"/>
  <c r="K25" i="14"/>
  <c r="K63" i="14"/>
  <c r="K56" i="14"/>
  <c r="G22" i="33"/>
  <c r="R22" i="33" s="1"/>
  <c r="S22" i="33" s="1"/>
  <c r="G23" i="33"/>
  <c r="R23" i="33" s="1"/>
  <c r="S23" i="33" s="1"/>
  <c r="K29" i="14"/>
  <c r="K24" i="14"/>
  <c r="K39" i="14"/>
  <c r="G43" i="33"/>
  <c r="R43" i="33" s="1"/>
  <c r="S43" i="33" s="1"/>
  <c r="T43" i="33" s="1"/>
  <c r="B45" i="33"/>
  <c r="E44" i="33"/>
  <c r="D44" i="33" s="1"/>
  <c r="F44" i="33"/>
  <c r="H44" i="33"/>
  <c r="C39" i="29"/>
  <c r="F38" i="29"/>
  <c r="G38" i="29" s="1"/>
  <c r="B40" i="29"/>
  <c r="E39" i="29"/>
  <c r="D39" i="29" s="1"/>
  <c r="D35" i="28"/>
  <c r="B37" i="28"/>
  <c r="E36" i="28"/>
  <c r="A9" i="26"/>
  <c r="D8" i="26"/>
  <c r="C8" i="26" s="1"/>
  <c r="E6" i="24"/>
  <c r="E10" i="23"/>
  <c r="D10" i="23" s="1"/>
  <c r="B11" i="23"/>
  <c r="F10" i="15"/>
  <c r="F11" i="15"/>
  <c r="F12" i="15"/>
  <c r="F9" i="15"/>
  <c r="D7" i="18"/>
  <c r="D6" i="18"/>
  <c r="L6" i="22"/>
  <c r="C24" i="8"/>
  <c r="B21" i="30" s="1"/>
  <c r="C23" i="8"/>
  <c r="B20" i="30" s="1"/>
  <c r="K6" i="22"/>
  <c r="I6" i="22"/>
  <c r="H6" i="22" s="1"/>
  <c r="F7" i="22"/>
  <c r="L7" i="22" s="1"/>
  <c r="H13" i="8"/>
  <c r="G13" i="30" s="1"/>
  <c r="H5" i="8"/>
  <c r="G5" i="30" s="1"/>
  <c r="E5" i="8"/>
  <c r="D5" i="30" s="1"/>
  <c r="F5" i="8"/>
  <c r="E5" i="30" s="1"/>
  <c r="G5" i="8"/>
  <c r="F5" i="30" s="1"/>
  <c r="I5" i="8"/>
  <c r="H5" i="30" s="1"/>
  <c r="I13" i="8"/>
  <c r="H13" i="30" s="1"/>
  <c r="E12" i="10"/>
  <c r="E13" i="8"/>
  <c r="D13" i="30" s="1"/>
  <c r="F13" i="8"/>
  <c r="E13" i="30" s="1"/>
  <c r="E8" i="21"/>
  <c r="E7" i="21"/>
  <c r="B8" i="21"/>
  <c r="Y14" i="11"/>
  <c r="X8" i="33" l="1"/>
  <c r="Y8" i="33" s="1"/>
  <c r="V9" i="33" s="1"/>
  <c r="T18" i="33"/>
  <c r="T27" i="33"/>
  <c r="T42" i="33"/>
  <c r="T10" i="33"/>
  <c r="T23" i="33"/>
  <c r="T40" i="33"/>
  <c r="T14" i="33"/>
  <c r="T30" i="33"/>
  <c r="T31" i="33"/>
  <c r="T36" i="33"/>
  <c r="P16" i="33"/>
  <c r="Q16" i="33" s="1"/>
  <c r="T15" i="33"/>
  <c r="T22" i="33"/>
  <c r="T39" i="33"/>
  <c r="T28" i="33"/>
  <c r="T26" i="33"/>
  <c r="T29" i="33"/>
  <c r="T41" i="33"/>
  <c r="P12" i="33"/>
  <c r="Q12" i="33" s="1"/>
  <c r="T11" i="33"/>
  <c r="T32" i="33"/>
  <c r="T20" i="33"/>
  <c r="T16" i="33"/>
  <c r="P30" i="33"/>
  <c r="Q9" i="33"/>
  <c r="W9" i="33" s="1"/>
  <c r="X9" i="33" s="1"/>
  <c r="P10" i="33"/>
  <c r="Q10" i="33" s="1"/>
  <c r="W10" i="33" s="1"/>
  <c r="P33" i="33"/>
  <c r="Q33" i="33" s="1"/>
  <c r="P24" i="33"/>
  <c r="P41" i="33"/>
  <c r="Q41" i="33" s="1"/>
  <c r="P20" i="33"/>
  <c r="Q20" i="33" s="1"/>
  <c r="P22" i="33"/>
  <c r="Q22" i="33" s="1"/>
  <c r="Q21" i="33"/>
  <c r="P15" i="33"/>
  <c r="Q15" i="33" s="1"/>
  <c r="Q11" i="33"/>
  <c r="P23" i="33"/>
  <c r="Q23" i="33" s="1"/>
  <c r="P28" i="33"/>
  <c r="Q28" i="33" s="1"/>
  <c r="P26" i="33"/>
  <c r="Q26" i="33" s="1"/>
  <c r="P40" i="33"/>
  <c r="Q40" i="33" s="1"/>
  <c r="P29" i="33"/>
  <c r="Q29" i="33" s="1"/>
  <c r="Q13" i="33"/>
  <c r="P14" i="33"/>
  <c r="Q14" i="33" s="1"/>
  <c r="P27" i="33"/>
  <c r="Q27" i="33" s="1"/>
  <c r="P19" i="33"/>
  <c r="Q19" i="33" s="1"/>
  <c r="P42" i="33"/>
  <c r="P44" i="33"/>
  <c r="P39" i="33"/>
  <c r="Q39" i="33" s="1"/>
  <c r="P38" i="33"/>
  <c r="Q38" i="33" s="1"/>
  <c r="P31" i="33"/>
  <c r="Q30" i="33"/>
  <c r="P34" i="33"/>
  <c r="P36" i="33"/>
  <c r="Q36" i="33" s="1"/>
  <c r="Q31" i="33"/>
  <c r="P32" i="33"/>
  <c r="Q32" i="33" s="1"/>
  <c r="Q17" i="33"/>
  <c r="P18" i="33"/>
  <c r="Q18" i="33" s="1"/>
  <c r="Q42" i="33"/>
  <c r="P43" i="33"/>
  <c r="Q43" i="33" s="1"/>
  <c r="P37" i="33"/>
  <c r="Q37" i="33" s="1"/>
  <c r="G34" i="33"/>
  <c r="R34" i="33" s="1"/>
  <c r="S34" i="33" s="1"/>
  <c r="T34" i="33" s="1"/>
  <c r="G24" i="33"/>
  <c r="R24" i="33" s="1"/>
  <c r="S24" i="33" s="1"/>
  <c r="T24" i="33" s="1"/>
  <c r="B9" i="21"/>
  <c r="B8" i="32"/>
  <c r="K8" i="21"/>
  <c r="K8" i="32" s="1"/>
  <c r="G44" i="33"/>
  <c r="R44" i="33" s="1"/>
  <c r="S44" i="33" s="1"/>
  <c r="T44" i="33" s="1"/>
  <c r="B46" i="33"/>
  <c r="E45" i="33"/>
  <c r="D45" i="33" s="1"/>
  <c r="H45" i="33"/>
  <c r="F45" i="33"/>
  <c r="D8" i="21"/>
  <c r="D8" i="32" s="1"/>
  <c r="E8" i="32"/>
  <c r="D7" i="21"/>
  <c r="D7" i="32" s="1"/>
  <c r="E7" i="32"/>
  <c r="E40" i="29"/>
  <c r="D40" i="29" s="1"/>
  <c r="B41" i="29"/>
  <c r="F39" i="29"/>
  <c r="G39" i="29" s="1"/>
  <c r="C40" i="29"/>
  <c r="D36" i="28"/>
  <c r="B38" i="28"/>
  <c r="E37" i="28"/>
  <c r="A10" i="26"/>
  <c r="D9" i="26"/>
  <c r="C9" i="26" s="1"/>
  <c r="M6" i="22"/>
  <c r="F6" i="24"/>
  <c r="E11" i="23"/>
  <c r="D11" i="23" s="1"/>
  <c r="B12" i="23"/>
  <c r="C22" i="8"/>
  <c r="B19" i="30" s="1"/>
  <c r="F8" i="22"/>
  <c r="K7" i="22"/>
  <c r="I7" i="22"/>
  <c r="H7" i="22" s="1"/>
  <c r="Y9" i="33" l="1"/>
  <c r="V10" i="33" s="1"/>
  <c r="T25" i="33"/>
  <c r="T35" i="33"/>
  <c r="P35" i="33"/>
  <c r="Q35" i="33" s="1"/>
  <c r="Q34" i="33"/>
  <c r="P45" i="33"/>
  <c r="Q44" i="33"/>
  <c r="Q24" i="33"/>
  <c r="P25" i="33"/>
  <c r="Q25" i="33" s="1"/>
  <c r="B10" i="21"/>
  <c r="B9" i="32"/>
  <c r="K9" i="21"/>
  <c r="K9" i="32" s="1"/>
  <c r="E9" i="21"/>
  <c r="G45" i="33"/>
  <c r="R45" i="33" s="1"/>
  <c r="S45" i="33" s="1"/>
  <c r="T45" i="33" s="1"/>
  <c r="E46" i="33"/>
  <c r="D46" i="33" s="1"/>
  <c r="B47" i="33"/>
  <c r="F46" i="33"/>
  <c r="H46" i="33"/>
  <c r="E41" i="29"/>
  <c r="D41" i="29" s="1"/>
  <c r="B42" i="29"/>
  <c r="F40" i="29"/>
  <c r="G40" i="29" s="1"/>
  <c r="C41" i="29"/>
  <c r="D37" i="28"/>
  <c r="B39" i="28"/>
  <c r="E38" i="28"/>
  <c r="D10" i="26"/>
  <c r="C10" i="26" s="1"/>
  <c r="A11" i="26"/>
  <c r="K8" i="22"/>
  <c r="G6" i="24"/>
  <c r="E12" i="23"/>
  <c r="D12" i="23" s="1"/>
  <c r="B13" i="23"/>
  <c r="I8" i="22"/>
  <c r="H8" i="22" s="1"/>
  <c r="F9" i="22"/>
  <c r="J7" i="22"/>
  <c r="P6" i="22"/>
  <c r="Q45" i="33" l="1"/>
  <c r="P46" i="33"/>
  <c r="D9" i="21"/>
  <c r="D9" i="32" s="1"/>
  <c r="E9" i="32"/>
  <c r="B11" i="21"/>
  <c r="B10" i="32"/>
  <c r="K10" i="21"/>
  <c r="K10" i="32" s="1"/>
  <c r="E10" i="21"/>
  <c r="G46" i="33"/>
  <c r="R46" i="33" s="1"/>
  <c r="S46" i="33" s="1"/>
  <c r="T46" i="33" s="1"/>
  <c r="E47" i="33"/>
  <c r="D47" i="33" s="1"/>
  <c r="B48" i="33"/>
  <c r="H47" i="33"/>
  <c r="F47" i="33"/>
  <c r="B43" i="29"/>
  <c r="E42" i="29"/>
  <c r="D42" i="29" s="1"/>
  <c r="C42" i="29"/>
  <c r="F41" i="29"/>
  <c r="G41" i="29" s="1"/>
  <c r="D38" i="28"/>
  <c r="B40" i="28"/>
  <c r="E39" i="28"/>
  <c r="D11" i="26"/>
  <c r="C11" i="26" s="1"/>
  <c r="A12" i="26"/>
  <c r="H6" i="24"/>
  <c r="H20" i="24" s="1"/>
  <c r="R6" i="22"/>
  <c r="O7" i="22" s="1"/>
  <c r="E13" i="23"/>
  <c r="D13" i="23" s="1"/>
  <c r="B14" i="23"/>
  <c r="M7" i="22"/>
  <c r="J8" i="22" s="1"/>
  <c r="F10" i="22"/>
  <c r="K9" i="22"/>
  <c r="I9" i="22"/>
  <c r="H9" i="22" s="1"/>
  <c r="Q46" i="33" l="1"/>
  <c r="P47" i="33"/>
  <c r="L8" i="22"/>
  <c r="M8" i="22" s="1"/>
  <c r="B12" i="21"/>
  <c r="B11" i="32"/>
  <c r="K11" i="21"/>
  <c r="K11" i="32" s="1"/>
  <c r="E11" i="21"/>
  <c r="D10" i="21"/>
  <c r="D10" i="32" s="1"/>
  <c r="E10" i="32"/>
  <c r="B49" i="33"/>
  <c r="E48" i="33"/>
  <c r="D48" i="33" s="1"/>
  <c r="H48" i="33"/>
  <c r="F48" i="33"/>
  <c r="G47" i="33"/>
  <c r="R47" i="33" s="1"/>
  <c r="S47" i="33" s="1"/>
  <c r="T47" i="33" s="1"/>
  <c r="C43" i="29"/>
  <c r="F42" i="29"/>
  <c r="G42" i="29" s="1"/>
  <c r="B44" i="29"/>
  <c r="E43" i="29"/>
  <c r="D43" i="29" s="1"/>
  <c r="D39" i="28"/>
  <c r="E40" i="28"/>
  <c r="B41" i="28"/>
  <c r="P7" i="22"/>
  <c r="M8" i="33" s="1"/>
  <c r="A13" i="26"/>
  <c r="D12" i="26"/>
  <c r="C12" i="26" s="1"/>
  <c r="E14" i="23"/>
  <c r="D14" i="23" s="1"/>
  <c r="B15" i="23"/>
  <c r="F11" i="22"/>
  <c r="I10" i="22"/>
  <c r="H10" i="22" s="1"/>
  <c r="K10" i="22"/>
  <c r="Q47" i="33" l="1"/>
  <c r="P48" i="33"/>
  <c r="J9" i="22"/>
  <c r="L9" i="22" s="1"/>
  <c r="M9" i="22" s="1"/>
  <c r="P8" i="22"/>
  <c r="Q9" i="22" s="1"/>
  <c r="D11" i="21"/>
  <c r="D11" i="32" s="1"/>
  <c r="E11" i="32"/>
  <c r="B13" i="21"/>
  <c r="B12" i="32"/>
  <c r="K12" i="21"/>
  <c r="K12" i="32" s="1"/>
  <c r="E12" i="21"/>
  <c r="G48" i="33"/>
  <c r="R48" i="33" s="1"/>
  <c r="S48" i="33" s="1"/>
  <c r="T48" i="33" s="1"/>
  <c r="B50" i="33"/>
  <c r="E49" i="33"/>
  <c r="D49" i="33" s="1"/>
  <c r="F49" i="33"/>
  <c r="H49" i="33"/>
  <c r="E44" i="29"/>
  <c r="D44" i="29" s="1"/>
  <c r="B45" i="29"/>
  <c r="F43" i="29"/>
  <c r="G43" i="29" s="1"/>
  <c r="C44" i="29"/>
  <c r="Q8" i="22"/>
  <c r="J9" i="28"/>
  <c r="D40" i="28"/>
  <c r="B42" i="28"/>
  <c r="E41" i="28"/>
  <c r="R7" i="22"/>
  <c r="O8" i="22" s="1"/>
  <c r="A14" i="26"/>
  <c r="D13" i="26"/>
  <c r="C13" i="26" s="1"/>
  <c r="E15" i="23"/>
  <c r="D15" i="23" s="1"/>
  <c r="B16" i="23"/>
  <c r="F12" i="22"/>
  <c r="I11" i="22"/>
  <c r="H11" i="22" s="1"/>
  <c r="K11" i="22"/>
  <c r="Q48" i="33" l="1"/>
  <c r="P49" i="33"/>
  <c r="J10" i="28"/>
  <c r="M9" i="33"/>
  <c r="B14" i="21"/>
  <c r="B13" i="32"/>
  <c r="K13" i="21"/>
  <c r="K13" i="32" s="1"/>
  <c r="E13" i="21"/>
  <c r="D12" i="21"/>
  <c r="D12" i="32" s="1"/>
  <c r="E12" i="32"/>
  <c r="E50" i="33"/>
  <c r="D50" i="33" s="1"/>
  <c r="B51" i="33"/>
  <c r="H50" i="33"/>
  <c r="F50" i="33"/>
  <c r="G49" i="33"/>
  <c r="R49" i="33" s="1"/>
  <c r="S49" i="33" s="1"/>
  <c r="T49" i="33" s="1"/>
  <c r="F44" i="29"/>
  <c r="G44" i="29" s="1"/>
  <c r="C45" i="29"/>
  <c r="E45" i="29"/>
  <c r="D45" i="29" s="1"/>
  <c r="B46" i="29"/>
  <c r="R8" i="22"/>
  <c r="O9" i="22" s="1"/>
  <c r="D41" i="28"/>
  <c r="B43" i="28"/>
  <c r="E42" i="28"/>
  <c r="D14" i="26"/>
  <c r="C14" i="26" s="1"/>
  <c r="A15" i="26"/>
  <c r="E16" i="23"/>
  <c r="D16" i="23" s="1"/>
  <c r="B17" i="23"/>
  <c r="J10" i="22"/>
  <c r="P9" i="22"/>
  <c r="F13" i="22"/>
  <c r="K12" i="22"/>
  <c r="I12" i="22"/>
  <c r="H12" i="22" s="1"/>
  <c r="Q49" i="33" l="1"/>
  <c r="P50" i="33"/>
  <c r="J11" i="28"/>
  <c r="M10" i="33"/>
  <c r="E13" i="32"/>
  <c r="D13" i="21"/>
  <c r="D13" i="32" s="1"/>
  <c r="B15" i="21"/>
  <c r="B14" i="32"/>
  <c r="K14" i="21"/>
  <c r="K14" i="32" s="1"/>
  <c r="E14" i="21"/>
  <c r="G50" i="33"/>
  <c r="R50" i="33" s="1"/>
  <c r="S50" i="33" s="1"/>
  <c r="T50" i="33" s="1"/>
  <c r="E51" i="33"/>
  <c r="D51" i="33" s="1"/>
  <c r="B52" i="33"/>
  <c r="F51" i="33"/>
  <c r="H51" i="33"/>
  <c r="B47" i="29"/>
  <c r="E46" i="29"/>
  <c r="D46" i="29" s="1"/>
  <c r="C46" i="29"/>
  <c r="F45" i="29"/>
  <c r="G45" i="29" s="1"/>
  <c r="D42" i="28"/>
  <c r="B44" i="28"/>
  <c r="E43" i="28"/>
  <c r="D15" i="26"/>
  <c r="C15" i="26" s="1"/>
  <c r="A16" i="26"/>
  <c r="Q10" i="22"/>
  <c r="E17" i="23"/>
  <c r="D17" i="23" s="1"/>
  <c r="B18" i="23"/>
  <c r="L10" i="22"/>
  <c r="M10" i="22" s="1"/>
  <c r="R9" i="22"/>
  <c r="O10" i="22" s="1"/>
  <c r="F14" i="22"/>
  <c r="K13" i="22"/>
  <c r="I13" i="22"/>
  <c r="H13" i="22" s="1"/>
  <c r="Q50" i="33" l="1"/>
  <c r="P51" i="33"/>
  <c r="B16" i="21"/>
  <c r="B15" i="32"/>
  <c r="K15" i="21"/>
  <c r="K15" i="32" s="1"/>
  <c r="E15" i="21"/>
  <c r="D14" i="21"/>
  <c r="D14" i="32" s="1"/>
  <c r="E14" i="32"/>
  <c r="B53" i="33"/>
  <c r="E52" i="33"/>
  <c r="D52" i="33" s="1"/>
  <c r="H52" i="33"/>
  <c r="F52" i="33"/>
  <c r="G51" i="33"/>
  <c r="R51" i="33" s="1"/>
  <c r="S51" i="33" s="1"/>
  <c r="T51" i="33" s="1"/>
  <c r="C47" i="29"/>
  <c r="F46" i="29"/>
  <c r="G46" i="29" s="1"/>
  <c r="B48" i="29"/>
  <c r="E47" i="29"/>
  <c r="D47" i="29" s="1"/>
  <c r="D43" i="28"/>
  <c r="B45" i="28"/>
  <c r="E44" i="28"/>
  <c r="A17" i="26"/>
  <c r="D16" i="26"/>
  <c r="C16" i="26" s="1"/>
  <c r="B19" i="23"/>
  <c r="E18" i="23"/>
  <c r="D18" i="23" s="1"/>
  <c r="J11" i="22"/>
  <c r="L11" i="22" s="1"/>
  <c r="M11" i="22" s="1"/>
  <c r="P10" i="22"/>
  <c r="F15" i="22"/>
  <c r="I14" i="22"/>
  <c r="H14" i="22" s="1"/>
  <c r="K14" i="22"/>
  <c r="P52" i="33" l="1"/>
  <c r="Q51" i="33"/>
  <c r="J12" i="28"/>
  <c r="M11" i="33"/>
  <c r="D15" i="21"/>
  <c r="D15" i="32" s="1"/>
  <c r="E15" i="32"/>
  <c r="B17" i="21"/>
  <c r="B16" i="32"/>
  <c r="K16" i="21"/>
  <c r="K16" i="32" s="1"/>
  <c r="E16" i="21"/>
  <c r="G52" i="33"/>
  <c r="R52" i="33" s="1"/>
  <c r="S52" i="33" s="1"/>
  <c r="T52" i="33" s="1"/>
  <c r="B54" i="33"/>
  <c r="E53" i="33"/>
  <c r="D53" i="33" s="1"/>
  <c r="F53" i="33"/>
  <c r="H53" i="33"/>
  <c r="E48" i="29"/>
  <c r="D48" i="29" s="1"/>
  <c r="B49" i="29"/>
  <c r="C48" i="29"/>
  <c r="F47" i="29"/>
  <c r="G47" i="29" s="1"/>
  <c r="D44" i="28"/>
  <c r="B46" i="28"/>
  <c r="E45" i="28"/>
  <c r="A18" i="26"/>
  <c r="D17" i="26"/>
  <c r="C17" i="26" s="1"/>
  <c r="Q11" i="22"/>
  <c r="B20" i="23"/>
  <c r="E19" i="23"/>
  <c r="D19" i="23" s="1"/>
  <c r="R10" i="22"/>
  <c r="O11" i="22" s="1"/>
  <c r="J12" i="22"/>
  <c r="P11" i="22"/>
  <c r="F16" i="22"/>
  <c r="I15" i="22"/>
  <c r="H15" i="22" s="1"/>
  <c r="K15" i="22"/>
  <c r="P53" i="33" l="1"/>
  <c r="Q52" i="33"/>
  <c r="J13" i="28"/>
  <c r="M12" i="33"/>
  <c r="B18" i="21"/>
  <c r="B17" i="32"/>
  <c r="K17" i="21"/>
  <c r="K17" i="32" s="1"/>
  <c r="E17" i="21"/>
  <c r="E16" i="32"/>
  <c r="D16" i="21"/>
  <c r="D16" i="32" s="1"/>
  <c r="E54" i="33"/>
  <c r="D54" i="33" s="1"/>
  <c r="B55" i="33"/>
  <c r="H54" i="33"/>
  <c r="F54" i="33"/>
  <c r="G53" i="33"/>
  <c r="R53" i="33" s="1"/>
  <c r="S53" i="33" s="1"/>
  <c r="T53" i="33" s="1"/>
  <c r="E49" i="29"/>
  <c r="D49" i="29" s="1"/>
  <c r="B50" i="29"/>
  <c r="F48" i="29"/>
  <c r="G48" i="29" s="1"/>
  <c r="C49" i="29"/>
  <c r="D45" i="28"/>
  <c r="E46" i="28"/>
  <c r="B47" i="28"/>
  <c r="D18" i="26"/>
  <c r="C18" i="26" s="1"/>
  <c r="A19" i="26"/>
  <c r="B21" i="23"/>
  <c r="E20" i="23"/>
  <c r="D20" i="23" s="1"/>
  <c r="L12" i="22"/>
  <c r="M12" i="22" s="1"/>
  <c r="Q12" i="22"/>
  <c r="R11" i="22"/>
  <c r="O12" i="22" s="1"/>
  <c r="F17" i="22"/>
  <c r="I16" i="22"/>
  <c r="H16" i="22" s="1"/>
  <c r="K16" i="22"/>
  <c r="Q53" i="33" l="1"/>
  <c r="P54" i="33"/>
  <c r="D17" i="21"/>
  <c r="D17" i="32" s="1"/>
  <c r="E17" i="32"/>
  <c r="B19" i="21"/>
  <c r="B18" i="32"/>
  <c r="K18" i="21"/>
  <c r="K18" i="32" s="1"/>
  <c r="E18" i="21"/>
  <c r="G54" i="33"/>
  <c r="R54" i="33" s="1"/>
  <c r="S54" i="33" s="1"/>
  <c r="T54" i="33" s="1"/>
  <c r="E55" i="33"/>
  <c r="D55" i="33" s="1"/>
  <c r="B56" i="33"/>
  <c r="H55" i="33"/>
  <c r="F55" i="33"/>
  <c r="C50" i="29"/>
  <c r="F49" i="29"/>
  <c r="G49" i="29" s="1"/>
  <c r="B51" i="29"/>
  <c r="E50" i="29"/>
  <c r="D50" i="29" s="1"/>
  <c r="D46" i="28"/>
  <c r="B48" i="28"/>
  <c r="E47" i="28"/>
  <c r="D19" i="26"/>
  <c r="C19" i="26" s="1"/>
  <c r="A20" i="26"/>
  <c r="B22" i="23"/>
  <c r="E21" i="23"/>
  <c r="D21" i="23" s="1"/>
  <c r="J13" i="22"/>
  <c r="P12" i="22"/>
  <c r="F18" i="22"/>
  <c r="K17" i="22"/>
  <c r="I17" i="22"/>
  <c r="H17" i="22" s="1"/>
  <c r="Q54" i="33" l="1"/>
  <c r="P55" i="33"/>
  <c r="J14" i="28"/>
  <c r="M13" i="33"/>
  <c r="B20" i="21"/>
  <c r="B19" i="32"/>
  <c r="K19" i="21"/>
  <c r="K19" i="32" s="1"/>
  <c r="E19" i="21"/>
  <c r="D18" i="21"/>
  <c r="D18" i="32" s="1"/>
  <c r="E18" i="32"/>
  <c r="B57" i="33"/>
  <c r="E56" i="33"/>
  <c r="D56" i="33" s="1"/>
  <c r="F56" i="33"/>
  <c r="H56" i="33"/>
  <c r="G55" i="33"/>
  <c r="R55" i="33" s="1"/>
  <c r="S55" i="33" s="1"/>
  <c r="T55" i="33" s="1"/>
  <c r="E51" i="29"/>
  <c r="D51" i="29" s="1"/>
  <c r="B52" i="29"/>
  <c r="F50" i="29"/>
  <c r="G50" i="29" s="1"/>
  <c r="C51" i="29"/>
  <c r="D47" i="28"/>
  <c r="E48" i="28"/>
  <c r="B49" i="28"/>
  <c r="A21" i="26"/>
  <c r="D20" i="26"/>
  <c r="C20" i="26" s="1"/>
  <c r="Q13" i="22"/>
  <c r="E22" i="23"/>
  <c r="D22" i="23" s="1"/>
  <c r="B23" i="23"/>
  <c r="L13" i="22"/>
  <c r="M13" i="22" s="1"/>
  <c r="R12" i="22"/>
  <c r="O13" i="22" s="1"/>
  <c r="F19" i="22"/>
  <c r="K18" i="22"/>
  <c r="I18" i="22"/>
  <c r="H18" i="22" s="1"/>
  <c r="Q55" i="33" l="1"/>
  <c r="P56" i="33"/>
  <c r="D19" i="21"/>
  <c r="D19" i="32" s="1"/>
  <c r="E19" i="32"/>
  <c r="B21" i="21"/>
  <c r="B20" i="32"/>
  <c r="K20" i="21"/>
  <c r="K20" i="32" s="1"/>
  <c r="E20" i="21"/>
  <c r="G56" i="33"/>
  <c r="R56" i="33" s="1"/>
  <c r="S56" i="33" s="1"/>
  <c r="T56" i="33" s="1"/>
  <c r="B58" i="33"/>
  <c r="E57" i="33"/>
  <c r="D57" i="33" s="1"/>
  <c r="F57" i="33"/>
  <c r="H57" i="33"/>
  <c r="F51" i="29"/>
  <c r="G51" i="29" s="1"/>
  <c r="C52" i="29"/>
  <c r="E52" i="29"/>
  <c r="D52" i="29" s="1"/>
  <c r="B53" i="29"/>
  <c r="D48" i="28"/>
  <c r="B50" i="28"/>
  <c r="E49" i="28"/>
  <c r="A22" i="26"/>
  <c r="D21" i="26"/>
  <c r="C21" i="26" s="1"/>
  <c r="E23" i="23"/>
  <c r="D23" i="23" s="1"/>
  <c r="B24" i="23"/>
  <c r="J14" i="22"/>
  <c r="P13" i="22"/>
  <c r="F20" i="22"/>
  <c r="I19" i="22"/>
  <c r="H19" i="22" s="1"/>
  <c r="P57" i="33" l="1"/>
  <c r="Q56" i="33"/>
  <c r="J15" i="28"/>
  <c r="M14" i="33"/>
  <c r="B22" i="21"/>
  <c r="B21" i="32"/>
  <c r="K21" i="21"/>
  <c r="K21" i="32" s="1"/>
  <c r="E21" i="21"/>
  <c r="D20" i="21"/>
  <c r="D20" i="32" s="1"/>
  <c r="E20" i="32"/>
  <c r="E58" i="33"/>
  <c r="D58" i="33" s="1"/>
  <c r="B59" i="33"/>
  <c r="F58" i="33"/>
  <c r="H58" i="33"/>
  <c r="G57" i="33"/>
  <c r="R57" i="33" s="1"/>
  <c r="S57" i="33" s="1"/>
  <c r="T57" i="33" s="1"/>
  <c r="B54" i="29"/>
  <c r="E53" i="29"/>
  <c r="D53" i="29" s="1"/>
  <c r="C53" i="29"/>
  <c r="F52" i="29"/>
  <c r="G52" i="29" s="1"/>
  <c r="D49" i="28"/>
  <c r="B51" i="28"/>
  <c r="E50" i="28"/>
  <c r="D22" i="26"/>
  <c r="C22" i="26" s="1"/>
  <c r="A23" i="26"/>
  <c r="Q14" i="22"/>
  <c r="E24" i="23"/>
  <c r="D24" i="23" s="1"/>
  <c r="B25" i="23"/>
  <c r="L14" i="22"/>
  <c r="M14" i="22" s="1"/>
  <c r="R13" i="22"/>
  <c r="O14" i="22" s="1"/>
  <c r="F21" i="22"/>
  <c r="K20" i="22"/>
  <c r="I20" i="22"/>
  <c r="H20" i="22" s="1"/>
  <c r="Q57" i="33" l="1"/>
  <c r="P58" i="33"/>
  <c r="D21" i="21"/>
  <c r="D21" i="32" s="1"/>
  <c r="E21" i="32"/>
  <c r="B23" i="21"/>
  <c r="B22" i="32"/>
  <c r="K22" i="21"/>
  <c r="K22" i="32" s="1"/>
  <c r="E22" i="21"/>
  <c r="G58" i="33"/>
  <c r="R58" i="33" s="1"/>
  <c r="S58" i="33" s="1"/>
  <c r="T58" i="33" s="1"/>
  <c r="E59" i="33"/>
  <c r="D59" i="33" s="1"/>
  <c r="B60" i="33"/>
  <c r="H59" i="33"/>
  <c r="F59" i="33"/>
  <c r="C54" i="29"/>
  <c r="F53" i="29"/>
  <c r="G53" i="29" s="1"/>
  <c r="B55" i="29"/>
  <c r="E54" i="29"/>
  <c r="D54" i="29" s="1"/>
  <c r="D50" i="28"/>
  <c r="B52" i="28"/>
  <c r="E51" i="28"/>
  <c r="D23" i="26"/>
  <c r="C23" i="26" s="1"/>
  <c r="A24" i="26"/>
  <c r="E25" i="23"/>
  <c r="D25" i="23" s="1"/>
  <c r="B26" i="23"/>
  <c r="J15" i="22"/>
  <c r="P14" i="22"/>
  <c r="F22" i="22"/>
  <c r="I21" i="22"/>
  <c r="H21" i="22" s="1"/>
  <c r="K21" i="22"/>
  <c r="P59" i="33" l="1"/>
  <c r="Q58" i="33"/>
  <c r="J16" i="28"/>
  <c r="M15" i="33"/>
  <c r="D22" i="21"/>
  <c r="D22" i="32" s="1"/>
  <c r="E22" i="32"/>
  <c r="B24" i="21"/>
  <c r="B23" i="32"/>
  <c r="K23" i="21"/>
  <c r="K23" i="32" s="1"/>
  <c r="E23" i="21"/>
  <c r="B61" i="33"/>
  <c r="E60" i="33"/>
  <c r="D60" i="33" s="1"/>
  <c r="H60" i="33"/>
  <c r="F60" i="33"/>
  <c r="G59" i="33"/>
  <c r="R59" i="33" s="1"/>
  <c r="S59" i="33" s="1"/>
  <c r="T59" i="33" s="1"/>
  <c r="E55" i="29"/>
  <c r="D55" i="29" s="1"/>
  <c r="B56" i="29"/>
  <c r="F54" i="29"/>
  <c r="G54" i="29" s="1"/>
  <c r="C55" i="29"/>
  <c r="D51" i="28"/>
  <c r="B53" i="28"/>
  <c r="E52" i="28"/>
  <c r="A25" i="26"/>
  <c r="D24" i="26"/>
  <c r="C24" i="26" s="1"/>
  <c r="Q15" i="22"/>
  <c r="E26" i="23"/>
  <c r="D26" i="23" s="1"/>
  <c r="B27" i="23"/>
  <c r="L15" i="22"/>
  <c r="M15" i="22" s="1"/>
  <c r="R14" i="22"/>
  <c r="O15" i="22" s="1"/>
  <c r="F23" i="22"/>
  <c r="I22" i="22"/>
  <c r="H22" i="22" s="1"/>
  <c r="K22" i="22"/>
  <c r="P60" i="33" l="1"/>
  <c r="Q59" i="33"/>
  <c r="B25" i="21"/>
  <c r="B24" i="32"/>
  <c r="K24" i="21"/>
  <c r="K24" i="32" s="1"/>
  <c r="E24" i="21"/>
  <c r="D23" i="21"/>
  <c r="D23" i="32" s="1"/>
  <c r="E23" i="32"/>
  <c r="G60" i="33"/>
  <c r="R60" i="33" s="1"/>
  <c r="S60" i="33" s="1"/>
  <c r="T60" i="33" s="1"/>
  <c r="B62" i="33"/>
  <c r="E61" i="33"/>
  <c r="D61" i="33" s="1"/>
  <c r="H61" i="33"/>
  <c r="F61" i="33"/>
  <c r="F55" i="29"/>
  <c r="G55" i="29" s="1"/>
  <c r="C56" i="29"/>
  <c r="E56" i="29"/>
  <c r="D56" i="29" s="1"/>
  <c r="B57" i="29"/>
  <c r="D52" i="28"/>
  <c r="B54" i="28"/>
  <c r="E53" i="28"/>
  <c r="A26" i="26"/>
  <c r="D25" i="26"/>
  <c r="C25" i="26" s="1"/>
  <c r="E27" i="23"/>
  <c r="D27" i="23" s="1"/>
  <c r="B28" i="23"/>
  <c r="J16" i="22"/>
  <c r="P15" i="22"/>
  <c r="F24" i="22"/>
  <c r="I23" i="22"/>
  <c r="H23" i="22" s="1"/>
  <c r="K23" i="22"/>
  <c r="Q60" i="33" l="1"/>
  <c r="P61" i="33"/>
  <c r="J17" i="28"/>
  <c r="M16" i="33"/>
  <c r="D24" i="21"/>
  <c r="D24" i="32" s="1"/>
  <c r="E24" i="32"/>
  <c r="B26" i="21"/>
  <c r="B25" i="32"/>
  <c r="K25" i="21"/>
  <c r="K25" i="32" s="1"/>
  <c r="E25" i="21"/>
  <c r="G61" i="33"/>
  <c r="R61" i="33" s="1"/>
  <c r="S61" i="33" s="1"/>
  <c r="T61" i="33" s="1"/>
  <c r="E62" i="33"/>
  <c r="D62" i="33" s="1"/>
  <c r="B63" i="33"/>
  <c r="F62" i="33"/>
  <c r="H62" i="33"/>
  <c r="B58" i="29"/>
  <c r="E57" i="29"/>
  <c r="D57" i="29" s="1"/>
  <c r="C57" i="29"/>
  <c r="F56" i="29"/>
  <c r="G56" i="29" s="1"/>
  <c r="D53" i="28"/>
  <c r="B55" i="28"/>
  <c r="E54" i="28"/>
  <c r="D26" i="26"/>
  <c r="C26" i="26" s="1"/>
  <c r="A27" i="26"/>
  <c r="Q16" i="22"/>
  <c r="E28" i="23"/>
  <c r="D28" i="23" s="1"/>
  <c r="B29" i="23"/>
  <c r="L16" i="22"/>
  <c r="R15" i="22"/>
  <c r="O16" i="22" s="1"/>
  <c r="F25" i="22"/>
  <c r="K24" i="22"/>
  <c r="I24" i="22"/>
  <c r="H24" i="22" s="1"/>
  <c r="Q61" i="33" l="1"/>
  <c r="P62" i="33"/>
  <c r="B27" i="21"/>
  <c r="B26" i="32"/>
  <c r="K26" i="21"/>
  <c r="K26" i="32" s="1"/>
  <c r="E26" i="21"/>
  <c r="E25" i="32"/>
  <c r="D25" i="21"/>
  <c r="D25" i="32" s="1"/>
  <c r="G62" i="33"/>
  <c r="R62" i="33" s="1"/>
  <c r="S62" i="33" s="1"/>
  <c r="T62" i="33" s="1"/>
  <c r="E63" i="33"/>
  <c r="D63" i="33" s="1"/>
  <c r="B64" i="33"/>
  <c r="F63" i="33"/>
  <c r="H63" i="33"/>
  <c r="C58" i="29"/>
  <c r="F57" i="29"/>
  <c r="G57" i="29" s="1"/>
  <c r="B59" i="29"/>
  <c r="E58" i="29"/>
  <c r="D58" i="29" s="1"/>
  <c r="M16" i="22"/>
  <c r="P16" i="22" s="1"/>
  <c r="D54" i="28"/>
  <c r="B56" i="28"/>
  <c r="E55" i="28"/>
  <c r="D27" i="26"/>
  <c r="C27" i="26" s="1"/>
  <c r="A28" i="26"/>
  <c r="E29" i="23"/>
  <c r="D29" i="23" s="1"/>
  <c r="B30" i="23"/>
  <c r="J17" i="22"/>
  <c r="F26" i="22"/>
  <c r="K25" i="22"/>
  <c r="I25" i="22"/>
  <c r="H25" i="22" s="1"/>
  <c r="P63" i="33" l="1"/>
  <c r="Q62" i="33"/>
  <c r="J18" i="28"/>
  <c r="M17" i="33"/>
  <c r="D26" i="21"/>
  <c r="D26" i="32" s="1"/>
  <c r="E26" i="32"/>
  <c r="B28" i="21"/>
  <c r="B27" i="32"/>
  <c r="K27" i="21"/>
  <c r="K27" i="32" s="1"/>
  <c r="E27" i="21"/>
  <c r="G63" i="33"/>
  <c r="R63" i="33" s="1"/>
  <c r="S63" i="33" s="1"/>
  <c r="T63" i="33" s="1"/>
  <c r="E64" i="33"/>
  <c r="D64" i="33" s="1"/>
  <c r="B65" i="33"/>
  <c r="H64" i="33"/>
  <c r="F64" i="33"/>
  <c r="E59" i="29"/>
  <c r="D59" i="29" s="1"/>
  <c r="B60" i="29"/>
  <c r="F58" i="29"/>
  <c r="G58" i="29" s="1"/>
  <c r="C59" i="29"/>
  <c r="D55" i="28"/>
  <c r="E56" i="28"/>
  <c r="B57" i="28"/>
  <c r="A29" i="26"/>
  <c r="D28" i="26"/>
  <c r="C28" i="26" s="1"/>
  <c r="Q17" i="22"/>
  <c r="E30" i="23"/>
  <c r="D30" i="23" s="1"/>
  <c r="B31" i="23"/>
  <c r="L17" i="22"/>
  <c r="R16" i="22"/>
  <c r="O17" i="22" s="1"/>
  <c r="F27" i="22"/>
  <c r="I26" i="22"/>
  <c r="H26" i="22" s="1"/>
  <c r="K26" i="22"/>
  <c r="P64" i="33" l="1"/>
  <c r="Q63" i="33"/>
  <c r="B29" i="21"/>
  <c r="B28" i="32"/>
  <c r="K28" i="21"/>
  <c r="K28" i="32" s="1"/>
  <c r="E28" i="21"/>
  <c r="D27" i="21"/>
  <c r="D27" i="32" s="1"/>
  <c r="E27" i="32"/>
  <c r="B66" i="33"/>
  <c r="E65" i="33"/>
  <c r="D65" i="33" s="1"/>
  <c r="H65" i="33"/>
  <c r="F65" i="33"/>
  <c r="G64" i="33"/>
  <c r="R64" i="33" s="1"/>
  <c r="S64" i="33" s="1"/>
  <c r="T64" i="33" s="1"/>
  <c r="F59" i="29"/>
  <c r="G59" i="29" s="1"/>
  <c r="C60" i="29"/>
  <c r="E60" i="29"/>
  <c r="D60" i="29" s="1"/>
  <c r="B61" i="29"/>
  <c r="M17" i="22"/>
  <c r="P17" i="22" s="1"/>
  <c r="M18" i="33" s="1"/>
  <c r="D56" i="28"/>
  <c r="B58" i="28"/>
  <c r="E57" i="28"/>
  <c r="A30" i="26"/>
  <c r="D29" i="26"/>
  <c r="C29" i="26" s="1"/>
  <c r="B32" i="23"/>
  <c r="E31" i="23"/>
  <c r="D31" i="23" s="1"/>
  <c r="F28" i="22"/>
  <c r="I27" i="22"/>
  <c r="H27" i="22" s="1"/>
  <c r="K27" i="22"/>
  <c r="Q64" i="33" l="1"/>
  <c r="P65" i="33"/>
  <c r="D28" i="21"/>
  <c r="D28" i="32" s="1"/>
  <c r="E28" i="32"/>
  <c r="B30" i="21"/>
  <c r="B29" i="32"/>
  <c r="K29" i="21"/>
  <c r="K29" i="32" s="1"/>
  <c r="E29" i="21"/>
  <c r="G65" i="33"/>
  <c r="R65" i="33" s="1"/>
  <c r="S65" i="33" s="1"/>
  <c r="T65" i="33" s="1"/>
  <c r="B67" i="33"/>
  <c r="E66" i="33"/>
  <c r="D66" i="33" s="1"/>
  <c r="H66" i="33"/>
  <c r="F66" i="33"/>
  <c r="J18" i="22"/>
  <c r="B62" i="29"/>
  <c r="E61" i="29"/>
  <c r="D61" i="29" s="1"/>
  <c r="C61" i="29"/>
  <c r="F60" i="29"/>
  <c r="G60" i="29" s="1"/>
  <c r="J19" i="28"/>
  <c r="D57" i="28"/>
  <c r="B59" i="28"/>
  <c r="E58" i="28"/>
  <c r="D30" i="26"/>
  <c r="C30" i="26" s="1"/>
  <c r="A31" i="26"/>
  <c r="Q18" i="22"/>
  <c r="E32" i="23"/>
  <c r="D32" i="23" s="1"/>
  <c r="B33" i="23"/>
  <c r="L18" i="22"/>
  <c r="R17" i="22"/>
  <c r="O18" i="22" s="1"/>
  <c r="F29" i="22"/>
  <c r="I28" i="22"/>
  <c r="H28" i="22" s="1"/>
  <c r="K28" i="22"/>
  <c r="Q65" i="33" l="1"/>
  <c r="P66" i="33"/>
  <c r="B31" i="21"/>
  <c r="B30" i="32"/>
  <c r="K30" i="21"/>
  <c r="K30" i="32" s="1"/>
  <c r="E30" i="21"/>
  <c r="D29" i="21"/>
  <c r="D29" i="32" s="1"/>
  <c r="E29" i="32"/>
  <c r="E67" i="33"/>
  <c r="D67" i="33" s="1"/>
  <c r="F67" i="33"/>
  <c r="H67" i="33"/>
  <c r="G66" i="33"/>
  <c r="R66" i="33" s="1"/>
  <c r="S66" i="33" s="1"/>
  <c r="T66" i="33" s="1"/>
  <c r="C62" i="29"/>
  <c r="F61" i="29"/>
  <c r="G61" i="29" s="1"/>
  <c r="B63" i="29"/>
  <c r="E62" i="29"/>
  <c r="D62" i="29" s="1"/>
  <c r="M18" i="22"/>
  <c r="P18" i="22" s="1"/>
  <c r="M19" i="33" s="1"/>
  <c r="D58" i="28"/>
  <c r="B60" i="28"/>
  <c r="E59" i="28"/>
  <c r="D31" i="26"/>
  <c r="C31" i="26" s="1"/>
  <c r="A32" i="26"/>
  <c r="E33" i="23"/>
  <c r="D33" i="23" s="1"/>
  <c r="B34" i="23"/>
  <c r="F30" i="22"/>
  <c r="K29" i="22"/>
  <c r="I29" i="22"/>
  <c r="H29" i="22" s="1"/>
  <c r="P67" i="33" l="1"/>
  <c r="Q66" i="33"/>
  <c r="J19" i="22"/>
  <c r="L19" i="22" s="1"/>
  <c r="D30" i="21"/>
  <c r="D30" i="32" s="1"/>
  <c r="E30" i="32"/>
  <c r="B32" i="21"/>
  <c r="B31" i="32"/>
  <c r="K31" i="21"/>
  <c r="K31" i="32" s="1"/>
  <c r="E31" i="21"/>
  <c r="G67" i="33"/>
  <c r="R67" i="33" s="1"/>
  <c r="S67" i="33" s="1"/>
  <c r="E63" i="29"/>
  <c r="D63" i="29" s="1"/>
  <c r="B64" i="29"/>
  <c r="F62" i="29"/>
  <c r="G62" i="29" s="1"/>
  <c r="C63" i="29"/>
  <c r="J20" i="28"/>
  <c r="D59" i="28"/>
  <c r="B61" i="28"/>
  <c r="E60" i="28"/>
  <c r="A33" i="26"/>
  <c r="D32" i="26"/>
  <c r="C32" i="26" s="1"/>
  <c r="Q19" i="22"/>
  <c r="E34" i="23"/>
  <c r="D34" i="23" s="1"/>
  <c r="B35" i="23"/>
  <c r="R18" i="22"/>
  <c r="O19" i="22" s="1"/>
  <c r="F31" i="22"/>
  <c r="I30" i="22"/>
  <c r="H30" i="22" s="1"/>
  <c r="K30" i="22"/>
  <c r="Q67" i="33" l="1"/>
  <c r="T67" i="33"/>
  <c r="B33" i="21"/>
  <c r="B32" i="32"/>
  <c r="K32" i="21"/>
  <c r="K32" i="32" s="1"/>
  <c r="E32" i="21"/>
  <c r="D31" i="21"/>
  <c r="D31" i="32" s="1"/>
  <c r="E31" i="32"/>
  <c r="F63" i="29"/>
  <c r="G63" i="29" s="1"/>
  <c r="C64" i="29"/>
  <c r="E64" i="29"/>
  <c r="D64" i="29" s="1"/>
  <c r="B65" i="29"/>
  <c r="D60" i="28"/>
  <c r="B62" i="28"/>
  <c r="E61" i="28"/>
  <c r="A34" i="26"/>
  <c r="D33" i="26"/>
  <c r="C33" i="26" s="1"/>
  <c r="E35" i="23"/>
  <c r="D35" i="23" s="1"/>
  <c r="B36" i="23"/>
  <c r="F32" i="22"/>
  <c r="I31" i="22"/>
  <c r="H31" i="22" s="1"/>
  <c r="K31" i="22"/>
  <c r="D32" i="21" l="1"/>
  <c r="D32" i="32" s="1"/>
  <c r="E32" i="32"/>
  <c r="B34" i="21"/>
  <c r="B33" i="32"/>
  <c r="K33" i="21"/>
  <c r="K33" i="32" s="1"/>
  <c r="E33" i="21"/>
  <c r="B66" i="29"/>
  <c r="E65" i="29"/>
  <c r="D65" i="29" s="1"/>
  <c r="C65" i="29"/>
  <c r="F64" i="29"/>
  <c r="G64" i="29" s="1"/>
  <c r="D61" i="28"/>
  <c r="E62" i="28"/>
  <c r="B63" i="28"/>
  <c r="D34" i="26"/>
  <c r="C34" i="26" s="1"/>
  <c r="A35" i="26"/>
  <c r="E36" i="23"/>
  <c r="D36" i="23" s="1"/>
  <c r="B37" i="23"/>
  <c r="F33" i="22"/>
  <c r="I32" i="22"/>
  <c r="H32" i="22" s="1"/>
  <c r="K32" i="22"/>
  <c r="B35" i="21" l="1"/>
  <c r="B34" i="32"/>
  <c r="K34" i="21"/>
  <c r="K34" i="32" s="1"/>
  <c r="E34" i="21"/>
  <c r="D33" i="21"/>
  <c r="D33" i="32" s="1"/>
  <c r="E33" i="32"/>
  <c r="C66" i="29"/>
  <c r="F65" i="29"/>
  <c r="G65" i="29" s="1"/>
  <c r="B67" i="29"/>
  <c r="E66" i="29"/>
  <c r="D66" i="29" s="1"/>
  <c r="D62" i="28"/>
  <c r="B64" i="28"/>
  <c r="E63" i="28"/>
  <c r="D35" i="26"/>
  <c r="C35" i="26" s="1"/>
  <c r="A36" i="26"/>
  <c r="E37" i="23"/>
  <c r="D37" i="23" s="1"/>
  <c r="B38" i="23"/>
  <c r="F34" i="22"/>
  <c r="I33" i="22"/>
  <c r="H33" i="22" s="1"/>
  <c r="K33" i="22"/>
  <c r="D34" i="21" l="1"/>
  <c r="D34" i="32" s="1"/>
  <c r="E34" i="32"/>
  <c r="B36" i="21"/>
  <c r="B35" i="32"/>
  <c r="K35" i="21"/>
  <c r="K35" i="32" s="1"/>
  <c r="E35" i="21"/>
  <c r="E67" i="29"/>
  <c r="D67" i="29" s="1"/>
  <c r="F66" i="29"/>
  <c r="G66" i="29" s="1"/>
  <c r="C67" i="29"/>
  <c r="F67" i="29" s="1"/>
  <c r="G67" i="29" s="1"/>
  <c r="D63" i="28"/>
  <c r="E64" i="28"/>
  <c r="D64" i="28" s="1"/>
  <c r="B65" i="28"/>
  <c r="A37" i="26"/>
  <c r="D36" i="26"/>
  <c r="C36" i="26" s="1"/>
  <c r="E38" i="23"/>
  <c r="D38" i="23" s="1"/>
  <c r="B39" i="23"/>
  <c r="F35" i="22"/>
  <c r="K34" i="22"/>
  <c r="I34" i="22"/>
  <c r="H34" i="22" s="1"/>
  <c r="B37" i="21" l="1"/>
  <c r="B36" i="32"/>
  <c r="K36" i="21"/>
  <c r="K36" i="32" s="1"/>
  <c r="E36" i="21"/>
  <c r="D35" i="21"/>
  <c r="D35" i="32" s="1"/>
  <c r="E35" i="32"/>
  <c r="B66" i="28"/>
  <c r="E65" i="28"/>
  <c r="D65" i="28" s="1"/>
  <c r="A38" i="26"/>
  <c r="D37" i="26"/>
  <c r="C37" i="26" s="1"/>
  <c r="E39" i="23"/>
  <c r="D39" i="23" s="1"/>
  <c r="B40" i="23"/>
  <c r="F36" i="22"/>
  <c r="K35" i="22"/>
  <c r="I35" i="22"/>
  <c r="H35" i="22" s="1"/>
  <c r="E36" i="32" l="1"/>
  <c r="D36" i="21"/>
  <c r="D36" i="32" s="1"/>
  <c r="B38" i="21"/>
  <c r="B37" i="32"/>
  <c r="K37" i="21"/>
  <c r="K37" i="32" s="1"/>
  <c r="E37" i="21"/>
  <c r="B67" i="28"/>
  <c r="E66" i="28"/>
  <c r="D66" i="28" s="1"/>
  <c r="D38" i="26"/>
  <c r="C38" i="26" s="1"/>
  <c r="A39" i="26"/>
  <c r="E40" i="23"/>
  <c r="D40" i="23" s="1"/>
  <c r="B41" i="23"/>
  <c r="F37" i="22"/>
  <c r="K36" i="22"/>
  <c r="I36" i="22"/>
  <c r="H36" i="22" s="1"/>
  <c r="B39" i="21" l="1"/>
  <c r="B38" i="32"/>
  <c r="K38" i="21"/>
  <c r="K38" i="32" s="1"/>
  <c r="E38" i="21"/>
  <c r="D37" i="21"/>
  <c r="D37" i="32" s="1"/>
  <c r="E37" i="32"/>
  <c r="E67" i="28"/>
  <c r="D67" i="28" s="1"/>
  <c r="B68" i="28"/>
  <c r="D39" i="26"/>
  <c r="C39" i="26" s="1"/>
  <c r="A40" i="26"/>
  <c r="E41" i="23"/>
  <c r="D41" i="23" s="1"/>
  <c r="B42" i="23"/>
  <c r="F38" i="22"/>
  <c r="I37" i="22"/>
  <c r="H37" i="22" s="1"/>
  <c r="K37" i="22"/>
  <c r="D38" i="21" l="1"/>
  <c r="D38" i="32" s="1"/>
  <c r="E38" i="32"/>
  <c r="B40" i="21"/>
  <c r="B39" i="32"/>
  <c r="K39" i="21"/>
  <c r="K39" i="32" s="1"/>
  <c r="E39" i="21"/>
  <c r="E68" i="28"/>
  <c r="D68" i="28" s="1"/>
  <c r="A41" i="26"/>
  <c r="D40" i="26"/>
  <c r="C40" i="26" s="1"/>
  <c r="E42" i="23"/>
  <c r="D42" i="23" s="1"/>
  <c r="B43" i="23"/>
  <c r="F39" i="22"/>
  <c r="I38" i="22"/>
  <c r="H38" i="22" s="1"/>
  <c r="K38" i="22"/>
  <c r="B41" i="21" l="1"/>
  <c r="B40" i="32"/>
  <c r="K40" i="21"/>
  <c r="K40" i="32" s="1"/>
  <c r="E40" i="21"/>
  <c r="D39" i="21"/>
  <c r="D39" i="32" s="1"/>
  <c r="E39" i="32"/>
  <c r="A42" i="26"/>
  <c r="D41" i="26"/>
  <c r="C41" i="26" s="1"/>
  <c r="E43" i="23"/>
  <c r="D43" i="23" s="1"/>
  <c r="B44" i="23"/>
  <c r="F40" i="22"/>
  <c r="I39" i="22"/>
  <c r="H39" i="22" s="1"/>
  <c r="K39" i="22"/>
  <c r="D40" i="21" l="1"/>
  <c r="D40" i="32" s="1"/>
  <c r="E40" i="32"/>
  <c r="B42" i="21"/>
  <c r="B41" i="32"/>
  <c r="K41" i="21"/>
  <c r="K41" i="32" s="1"/>
  <c r="E41" i="21"/>
  <c r="D42" i="26"/>
  <c r="C42" i="26" s="1"/>
  <c r="A43" i="26"/>
  <c r="E44" i="23"/>
  <c r="D44" i="23" s="1"/>
  <c r="B45" i="23"/>
  <c r="F41" i="22"/>
  <c r="K40" i="22"/>
  <c r="I40" i="22"/>
  <c r="H40" i="22" s="1"/>
  <c r="B43" i="21" l="1"/>
  <c r="B42" i="32"/>
  <c r="K42" i="21"/>
  <c r="K42" i="32" s="1"/>
  <c r="E42" i="21"/>
  <c r="E41" i="32"/>
  <c r="D41" i="21"/>
  <c r="D41" i="32" s="1"/>
  <c r="D43" i="26"/>
  <c r="C43" i="26" s="1"/>
  <c r="A44" i="26"/>
  <c r="E45" i="23"/>
  <c r="D45" i="23" s="1"/>
  <c r="B46" i="23"/>
  <c r="F42" i="22"/>
  <c r="K41" i="22"/>
  <c r="I41" i="22"/>
  <c r="H41" i="22" s="1"/>
  <c r="D42" i="21" l="1"/>
  <c r="D42" i="32" s="1"/>
  <c r="E42" i="32"/>
  <c r="B44" i="21"/>
  <c r="B43" i="32"/>
  <c r="K43" i="21"/>
  <c r="K43" i="32" s="1"/>
  <c r="E43" i="21"/>
  <c r="A45" i="26"/>
  <c r="D44" i="26"/>
  <c r="C44" i="26" s="1"/>
  <c r="E46" i="23"/>
  <c r="D46" i="23" s="1"/>
  <c r="B47" i="23"/>
  <c r="F43" i="22"/>
  <c r="I42" i="22"/>
  <c r="H42" i="22" s="1"/>
  <c r="K42" i="22"/>
  <c r="B45" i="21" l="1"/>
  <c r="B44" i="32"/>
  <c r="K44" i="21"/>
  <c r="K44" i="32" s="1"/>
  <c r="E44" i="21"/>
  <c r="D43" i="21"/>
  <c r="D43" i="32" s="1"/>
  <c r="E43" i="32"/>
  <c r="A46" i="26"/>
  <c r="D45" i="26"/>
  <c r="C45" i="26" s="1"/>
  <c r="E47" i="23"/>
  <c r="D47" i="23" s="1"/>
  <c r="B48" i="23"/>
  <c r="F44" i="22"/>
  <c r="K43" i="22"/>
  <c r="I43" i="22"/>
  <c r="H43" i="22" s="1"/>
  <c r="D44" i="21" l="1"/>
  <c r="D44" i="32" s="1"/>
  <c r="E44" i="32"/>
  <c r="B46" i="21"/>
  <c r="B45" i="32"/>
  <c r="K45" i="21"/>
  <c r="K45" i="32" s="1"/>
  <c r="E45" i="21"/>
  <c r="D46" i="26"/>
  <c r="C46" i="26" s="1"/>
  <c r="A47" i="26"/>
  <c r="E48" i="23"/>
  <c r="D48" i="23" s="1"/>
  <c r="B49" i="23"/>
  <c r="F45" i="22"/>
  <c r="I44" i="22"/>
  <c r="H44" i="22" s="1"/>
  <c r="K44" i="22"/>
  <c r="B47" i="21" l="1"/>
  <c r="B46" i="32"/>
  <c r="K46" i="21"/>
  <c r="K46" i="32" s="1"/>
  <c r="E46" i="21"/>
  <c r="D45" i="21"/>
  <c r="D45" i="32" s="1"/>
  <c r="E45" i="32"/>
  <c r="D47" i="26"/>
  <c r="C47" i="26" s="1"/>
  <c r="A48" i="26"/>
  <c r="E49" i="23"/>
  <c r="D49" i="23" s="1"/>
  <c r="B50" i="23"/>
  <c r="F46" i="22"/>
  <c r="K45" i="22"/>
  <c r="I45" i="22"/>
  <c r="H45" i="22" s="1"/>
  <c r="D46" i="21" l="1"/>
  <c r="D46" i="32" s="1"/>
  <c r="E46" i="32"/>
  <c r="B48" i="21"/>
  <c r="B47" i="32"/>
  <c r="K47" i="21"/>
  <c r="K47" i="32" s="1"/>
  <c r="E47" i="21"/>
  <c r="A49" i="26"/>
  <c r="D48" i="26"/>
  <c r="C48" i="26" s="1"/>
  <c r="E50" i="23"/>
  <c r="D50" i="23" s="1"/>
  <c r="B51" i="23"/>
  <c r="F47" i="22"/>
  <c r="I46" i="22"/>
  <c r="H46" i="22" s="1"/>
  <c r="K46" i="22"/>
  <c r="B49" i="21" l="1"/>
  <c r="B48" i="32"/>
  <c r="K48" i="21"/>
  <c r="K48" i="32" s="1"/>
  <c r="E48" i="21"/>
  <c r="D47" i="21"/>
  <c r="D47" i="32" s="1"/>
  <c r="E47" i="32"/>
  <c r="A50" i="26"/>
  <c r="D49" i="26"/>
  <c r="C49" i="26" s="1"/>
  <c r="E51" i="23"/>
  <c r="D51" i="23" s="1"/>
  <c r="B52" i="23"/>
  <c r="F48" i="22"/>
  <c r="I47" i="22"/>
  <c r="H47" i="22" s="1"/>
  <c r="K47" i="22"/>
  <c r="D48" i="21" l="1"/>
  <c r="D48" i="32" s="1"/>
  <c r="E48" i="32"/>
  <c r="B50" i="21"/>
  <c r="B49" i="32"/>
  <c r="K49" i="21"/>
  <c r="K49" i="32" s="1"/>
  <c r="E49" i="21"/>
  <c r="D50" i="26"/>
  <c r="C50" i="26" s="1"/>
  <c r="A51" i="26"/>
  <c r="E52" i="23"/>
  <c r="D52" i="23" s="1"/>
  <c r="B53" i="23"/>
  <c r="F49" i="22"/>
  <c r="I48" i="22"/>
  <c r="H48" i="22" s="1"/>
  <c r="K48" i="22"/>
  <c r="B51" i="21" l="1"/>
  <c r="B50" i="32"/>
  <c r="K50" i="21"/>
  <c r="K50" i="32" s="1"/>
  <c r="E50" i="21"/>
  <c r="D49" i="21"/>
  <c r="D49" i="32" s="1"/>
  <c r="E49" i="32"/>
  <c r="D51" i="26"/>
  <c r="C51" i="26" s="1"/>
  <c r="A52" i="26"/>
  <c r="E53" i="23"/>
  <c r="D53" i="23" s="1"/>
  <c r="B54" i="23"/>
  <c r="F50" i="22"/>
  <c r="I49" i="22"/>
  <c r="H49" i="22" s="1"/>
  <c r="K49" i="22"/>
  <c r="D50" i="21" l="1"/>
  <c r="D50" i="32" s="1"/>
  <c r="E50" i="32"/>
  <c r="B52" i="21"/>
  <c r="B51" i="32"/>
  <c r="K51" i="21"/>
  <c r="K51" i="32" s="1"/>
  <c r="E51" i="21"/>
  <c r="A53" i="26"/>
  <c r="D52" i="26"/>
  <c r="C52" i="26" s="1"/>
  <c r="E54" i="23"/>
  <c r="D54" i="23" s="1"/>
  <c r="B55" i="23"/>
  <c r="F51" i="22"/>
  <c r="K50" i="22"/>
  <c r="I50" i="22"/>
  <c r="H50" i="22" s="1"/>
  <c r="B53" i="21" l="1"/>
  <c r="B52" i="32"/>
  <c r="K52" i="21"/>
  <c r="K52" i="32" s="1"/>
  <c r="E52" i="21"/>
  <c r="D51" i="21"/>
  <c r="D51" i="32" s="1"/>
  <c r="E51" i="32"/>
  <c r="A54" i="26"/>
  <c r="D53" i="26"/>
  <c r="C53" i="26" s="1"/>
  <c r="E55" i="23"/>
  <c r="D55" i="23" s="1"/>
  <c r="B56" i="23"/>
  <c r="F52" i="22"/>
  <c r="K51" i="22"/>
  <c r="I51" i="22"/>
  <c r="H51" i="22" s="1"/>
  <c r="D52" i="21" l="1"/>
  <c r="D52" i="32" s="1"/>
  <c r="E52" i="32"/>
  <c r="B54" i="21"/>
  <c r="B53" i="32"/>
  <c r="K53" i="21"/>
  <c r="K53" i="32" s="1"/>
  <c r="E53" i="21"/>
  <c r="D54" i="26"/>
  <c r="C54" i="26" s="1"/>
  <c r="A55" i="26"/>
  <c r="E56" i="23"/>
  <c r="D56" i="23" s="1"/>
  <c r="B57" i="23"/>
  <c r="F53" i="22"/>
  <c r="K52" i="22"/>
  <c r="I52" i="22"/>
  <c r="H52" i="22" s="1"/>
  <c r="B55" i="21" l="1"/>
  <c r="B54" i="32"/>
  <c r="K54" i="21"/>
  <c r="K54" i="32" s="1"/>
  <c r="E54" i="21"/>
  <c r="D53" i="21"/>
  <c r="D53" i="32" s="1"/>
  <c r="E53" i="32"/>
  <c r="D55" i="26"/>
  <c r="C55" i="26" s="1"/>
  <c r="A56" i="26"/>
  <c r="E57" i="23"/>
  <c r="D57" i="23" s="1"/>
  <c r="B58" i="23"/>
  <c r="F54" i="22"/>
  <c r="I53" i="22"/>
  <c r="H53" i="22" s="1"/>
  <c r="K53" i="22"/>
  <c r="D54" i="21" l="1"/>
  <c r="D54" i="32" s="1"/>
  <c r="E54" i="32"/>
  <c r="B56" i="21"/>
  <c r="B55" i="32"/>
  <c r="K55" i="21"/>
  <c r="K55" i="32" s="1"/>
  <c r="E55" i="21"/>
  <c r="A57" i="26"/>
  <c r="D56" i="26"/>
  <c r="C56" i="26" s="1"/>
  <c r="E58" i="23"/>
  <c r="D58" i="23" s="1"/>
  <c r="B59" i="23"/>
  <c r="F55" i="22"/>
  <c r="I54" i="22"/>
  <c r="H54" i="22" s="1"/>
  <c r="K54" i="22"/>
  <c r="B57" i="21" l="1"/>
  <c r="B56" i="32"/>
  <c r="K56" i="21"/>
  <c r="K56" i="32" s="1"/>
  <c r="E56" i="21"/>
  <c r="D55" i="21"/>
  <c r="D55" i="32" s="1"/>
  <c r="E55" i="32"/>
  <c r="A58" i="26"/>
  <c r="D57" i="26"/>
  <c r="C57" i="26" s="1"/>
  <c r="E59" i="23"/>
  <c r="D59" i="23" s="1"/>
  <c r="B60" i="23"/>
  <c r="F56" i="22"/>
  <c r="I55" i="22"/>
  <c r="H55" i="22" s="1"/>
  <c r="K55" i="22"/>
  <c r="D56" i="21" l="1"/>
  <c r="D56" i="32" s="1"/>
  <c r="E56" i="32"/>
  <c r="B58" i="21"/>
  <c r="B57" i="32"/>
  <c r="K57" i="21"/>
  <c r="K57" i="32" s="1"/>
  <c r="E57" i="21"/>
  <c r="D58" i="26"/>
  <c r="C58" i="26" s="1"/>
  <c r="A59" i="26"/>
  <c r="E60" i="23"/>
  <c r="D60" i="23" s="1"/>
  <c r="B61" i="23"/>
  <c r="L56" i="22"/>
  <c r="P56" i="22"/>
  <c r="F57" i="22"/>
  <c r="K56" i="22"/>
  <c r="I56" i="22"/>
  <c r="H56" i="22" s="1"/>
  <c r="J58" i="28" l="1"/>
  <c r="M57" i="33"/>
  <c r="B59" i="21"/>
  <c r="B58" i="32"/>
  <c r="K58" i="21"/>
  <c r="K58" i="32" s="1"/>
  <c r="E58" i="21"/>
  <c r="E57" i="32"/>
  <c r="D57" i="21"/>
  <c r="D57" i="32" s="1"/>
  <c r="D59" i="26"/>
  <c r="C59" i="26" s="1"/>
  <c r="A60" i="26"/>
  <c r="Q57" i="22"/>
  <c r="E61" i="23"/>
  <c r="D61" i="23" s="1"/>
  <c r="B62" i="23"/>
  <c r="L57" i="22"/>
  <c r="P57" i="22"/>
  <c r="F58" i="22"/>
  <c r="K57" i="22"/>
  <c r="I57" i="22"/>
  <c r="H57" i="22" s="1"/>
  <c r="J59" i="28" l="1"/>
  <c r="M58" i="33"/>
  <c r="D58" i="21"/>
  <c r="D58" i="32" s="1"/>
  <c r="E58" i="32"/>
  <c r="B60" i="21"/>
  <c r="B59" i="32"/>
  <c r="K59" i="21"/>
  <c r="K59" i="32" s="1"/>
  <c r="E59" i="21"/>
  <c r="A61" i="26"/>
  <c r="D60" i="26"/>
  <c r="C60" i="26" s="1"/>
  <c r="Q58" i="22"/>
  <c r="E62" i="23"/>
  <c r="D62" i="23" s="1"/>
  <c r="B63" i="23"/>
  <c r="L58" i="22"/>
  <c r="P58" i="22"/>
  <c r="F59" i="22"/>
  <c r="I58" i="22"/>
  <c r="H58" i="22" s="1"/>
  <c r="K58" i="22"/>
  <c r="J60" i="28" l="1"/>
  <c r="M59" i="33"/>
  <c r="B61" i="21"/>
  <c r="B60" i="32"/>
  <c r="K60" i="21"/>
  <c r="K60" i="32" s="1"/>
  <c r="E60" i="21"/>
  <c r="D59" i="21"/>
  <c r="D59" i="32" s="1"/>
  <c r="E59" i="32"/>
  <c r="A62" i="26"/>
  <c r="D61" i="26"/>
  <c r="C61" i="26" s="1"/>
  <c r="Q59" i="22"/>
  <c r="E63" i="23"/>
  <c r="D63" i="23" s="1"/>
  <c r="B64" i="23"/>
  <c r="P59" i="22"/>
  <c r="L59" i="22"/>
  <c r="F60" i="22"/>
  <c r="K59" i="22"/>
  <c r="I59" i="22"/>
  <c r="H59" i="22" s="1"/>
  <c r="J61" i="28" l="1"/>
  <c r="M60" i="33"/>
  <c r="D60" i="21"/>
  <c r="D60" i="32" s="1"/>
  <c r="E60" i="32"/>
  <c r="B62" i="21"/>
  <c r="B61" i="32"/>
  <c r="K61" i="21"/>
  <c r="K61" i="32" s="1"/>
  <c r="E61" i="21"/>
  <c r="D62" i="26"/>
  <c r="C62" i="26" s="1"/>
  <c r="Q60" i="22"/>
  <c r="E64" i="23"/>
  <c r="D64" i="23" s="1"/>
  <c r="B65" i="23"/>
  <c r="L60" i="22"/>
  <c r="P60" i="22"/>
  <c r="F61" i="22"/>
  <c r="I60" i="22"/>
  <c r="H60" i="22" s="1"/>
  <c r="K60" i="22"/>
  <c r="J62" i="28" l="1"/>
  <c r="M61" i="33"/>
  <c r="B63" i="21"/>
  <c r="B62" i="32"/>
  <c r="K62" i="21"/>
  <c r="K62" i="32" s="1"/>
  <c r="E62" i="21"/>
  <c r="D61" i="21"/>
  <c r="D61" i="32" s="1"/>
  <c r="E61" i="32"/>
  <c r="Q61" i="22"/>
  <c r="E65" i="23"/>
  <c r="D65" i="23" s="1"/>
  <c r="B66" i="23"/>
  <c r="L61" i="22"/>
  <c r="P61" i="22"/>
  <c r="F62" i="22"/>
  <c r="K61" i="22"/>
  <c r="I61" i="22"/>
  <c r="H61" i="22" s="1"/>
  <c r="J63" i="28" l="1"/>
  <c r="M62" i="33"/>
  <c r="D62" i="21"/>
  <c r="D62" i="32" s="1"/>
  <c r="E62" i="32"/>
  <c r="B64" i="21"/>
  <c r="B63" i="32"/>
  <c r="K63" i="21"/>
  <c r="K63" i="32" s="1"/>
  <c r="E63" i="21"/>
  <c r="Q62" i="22"/>
  <c r="E66" i="23"/>
  <c r="D66" i="23" s="1"/>
  <c r="B67" i="23"/>
  <c r="L62" i="22"/>
  <c r="P62" i="22"/>
  <c r="F63" i="22"/>
  <c r="I62" i="22"/>
  <c r="H62" i="22" s="1"/>
  <c r="K62" i="22"/>
  <c r="J64" i="28" l="1"/>
  <c r="M63" i="33"/>
  <c r="B65" i="21"/>
  <c r="B64" i="32"/>
  <c r="K64" i="21"/>
  <c r="K64" i="32" s="1"/>
  <c r="E64" i="21"/>
  <c r="D63" i="21"/>
  <c r="D63" i="32" s="1"/>
  <c r="E63" i="32"/>
  <c r="Q63" i="22"/>
  <c r="E67" i="23"/>
  <c r="D67" i="23" s="1"/>
  <c r="P63" i="22"/>
  <c r="L63" i="22"/>
  <c r="F64" i="22"/>
  <c r="K63" i="22"/>
  <c r="I63" i="22"/>
  <c r="H63" i="22" s="1"/>
  <c r="J65" i="28" l="1"/>
  <c r="M64" i="33"/>
  <c r="D64" i="21"/>
  <c r="D64" i="32" s="1"/>
  <c r="E64" i="32"/>
  <c r="B66" i="21"/>
  <c r="B65" i="32"/>
  <c r="K65" i="21"/>
  <c r="K65" i="32" s="1"/>
  <c r="E65" i="21"/>
  <c r="Q64" i="22"/>
  <c r="L64" i="22"/>
  <c r="P64" i="22"/>
  <c r="F65" i="22"/>
  <c r="I64" i="22"/>
  <c r="H64" i="22" s="1"/>
  <c r="K64" i="22"/>
  <c r="J66" i="28" l="1"/>
  <c r="M65" i="33"/>
  <c r="B67" i="21"/>
  <c r="B66" i="32"/>
  <c r="K66" i="21"/>
  <c r="K66" i="32" s="1"/>
  <c r="E66" i="21"/>
  <c r="D65" i="21"/>
  <c r="D65" i="32" s="1"/>
  <c r="E65" i="32"/>
  <c r="M62" i="23"/>
  <c r="Q65" i="22"/>
  <c r="M65" i="23"/>
  <c r="L65" i="22"/>
  <c r="P65" i="22"/>
  <c r="M66" i="33" s="1"/>
  <c r="F66" i="22"/>
  <c r="I65" i="22"/>
  <c r="H65" i="22" s="1"/>
  <c r="K65" i="22"/>
  <c r="D66" i="21" l="1"/>
  <c r="D66" i="32" s="1"/>
  <c r="E66" i="32"/>
  <c r="E67" i="21"/>
  <c r="B67" i="32"/>
  <c r="K67" i="21"/>
  <c r="K67" i="32" s="1"/>
  <c r="J9" i="31" s="1"/>
  <c r="J67" i="28"/>
  <c r="M8" i="23"/>
  <c r="M9" i="23"/>
  <c r="M12" i="23"/>
  <c r="M10" i="23"/>
  <c r="M11" i="23"/>
  <c r="M13" i="23"/>
  <c r="M14" i="23"/>
  <c r="M15" i="23"/>
  <c r="M16" i="23"/>
  <c r="M17" i="23"/>
  <c r="M18" i="23"/>
  <c r="M19" i="23"/>
  <c r="M57" i="23"/>
  <c r="M58" i="23"/>
  <c r="M60" i="23"/>
  <c r="M61" i="23"/>
  <c r="M64" i="23"/>
  <c r="M59" i="23"/>
  <c r="M63" i="23"/>
  <c r="Q66" i="22"/>
  <c r="M66" i="23"/>
  <c r="P66" i="22"/>
  <c r="L66" i="22"/>
  <c r="K66" i="22"/>
  <c r="I66" i="22"/>
  <c r="H66" i="22" s="1"/>
  <c r="J68" i="28" l="1"/>
  <c r="M67" i="33"/>
  <c r="D67" i="21"/>
  <c r="D67" i="32" s="1"/>
  <c r="E67" i="32"/>
  <c r="H21" i="24"/>
  <c r="M67" i="23"/>
  <c r="C21" i="24"/>
  <c r="D17" i="1"/>
  <c r="D18" i="1"/>
  <c r="D19" i="1"/>
  <c r="D16" i="1"/>
  <c r="E17" i="1"/>
  <c r="E18" i="1"/>
  <c r="E19" i="1"/>
  <c r="E16" i="1"/>
  <c r="G16" i="1" s="1"/>
  <c r="D27" i="1"/>
  <c r="E27" i="1"/>
  <c r="G27" i="1"/>
  <c r="H8" i="3"/>
  <c r="H9" i="3"/>
  <c r="H10" i="3"/>
  <c r="H16" i="3"/>
  <c r="H17" i="3"/>
  <c r="H18" i="3"/>
  <c r="H7" i="3"/>
  <c r="E20" i="1" l="1"/>
  <c r="D5" i="18"/>
  <c r="G12" i="15"/>
  <c r="D12" i="15"/>
  <c r="H12" i="15" s="1"/>
  <c r="I12" i="15" s="1"/>
  <c r="G11" i="15"/>
  <c r="G10" i="15"/>
  <c r="G9" i="15"/>
  <c r="D9" i="15" s="1"/>
  <c r="H9" i="15" s="1"/>
  <c r="I9" i="15" s="1"/>
  <c r="D11" i="15" l="1"/>
  <c r="H11" i="15" s="1"/>
  <c r="I11" i="15" s="1"/>
  <c r="D10" i="15"/>
  <c r="H10" i="15" s="1"/>
  <c r="I10" i="15" s="1"/>
  <c r="C30" i="8"/>
  <c r="B27" i="30" s="1"/>
  <c r="F26" i="1"/>
  <c r="H26" i="1" s="1"/>
  <c r="F25" i="1"/>
  <c r="B7" i="14"/>
  <c r="E6" i="14"/>
  <c r="B6" i="13"/>
  <c r="B67" i="13"/>
  <c r="C67" i="13"/>
  <c r="B68" i="13"/>
  <c r="C68" i="13"/>
  <c r="B69" i="13"/>
  <c r="C69" i="13"/>
  <c r="B70" i="13"/>
  <c r="C70" i="13"/>
  <c r="B71" i="13"/>
  <c r="C71" i="13"/>
  <c r="B72" i="13"/>
  <c r="C72" i="13"/>
  <c r="B73" i="13"/>
  <c r="C73" i="13"/>
  <c r="B74" i="13"/>
  <c r="C74" i="13"/>
  <c r="B75" i="13"/>
  <c r="C75" i="13"/>
  <c r="B76" i="13"/>
  <c r="C76" i="13"/>
  <c r="B77" i="13"/>
  <c r="C77" i="13"/>
  <c r="B78" i="13"/>
  <c r="C78" i="13"/>
  <c r="B79" i="13"/>
  <c r="C79" i="13"/>
  <c r="B80" i="13"/>
  <c r="C80" i="13"/>
  <c r="B81" i="13"/>
  <c r="C81" i="13"/>
  <c r="B82" i="13"/>
  <c r="C82" i="13"/>
  <c r="B83" i="13"/>
  <c r="C83" i="13"/>
  <c r="B84" i="13"/>
  <c r="C84" i="13"/>
  <c r="B85" i="13"/>
  <c r="C85" i="13"/>
  <c r="B86" i="13"/>
  <c r="C86" i="13"/>
  <c r="B87" i="13"/>
  <c r="C87" i="13"/>
  <c r="B88" i="13"/>
  <c r="C88" i="13"/>
  <c r="B89" i="13"/>
  <c r="C89" i="13"/>
  <c r="B90" i="13"/>
  <c r="C90" i="13"/>
  <c r="B91" i="13"/>
  <c r="C91" i="13"/>
  <c r="B92" i="13"/>
  <c r="C92" i="13"/>
  <c r="B93" i="13"/>
  <c r="C93" i="13"/>
  <c r="B94" i="13"/>
  <c r="C94" i="13"/>
  <c r="B95" i="13"/>
  <c r="C95" i="13"/>
  <c r="B96" i="13"/>
  <c r="C96" i="13"/>
  <c r="B97" i="13"/>
  <c r="C97" i="13"/>
  <c r="B98" i="13"/>
  <c r="C98" i="13"/>
  <c r="B99" i="13"/>
  <c r="C99" i="13"/>
  <c r="B100" i="13"/>
  <c r="C100" i="13"/>
  <c r="B101" i="13"/>
  <c r="C101" i="13"/>
  <c r="B102" i="13"/>
  <c r="C102" i="13"/>
  <c r="B103" i="13"/>
  <c r="C103" i="13"/>
  <c r="B104" i="13"/>
  <c r="C104" i="13"/>
  <c r="B105" i="13"/>
  <c r="C105" i="13"/>
  <c r="B106" i="13"/>
  <c r="C106" i="13"/>
  <c r="B107" i="13"/>
  <c r="C107" i="13"/>
  <c r="B108" i="13"/>
  <c r="C108" i="13"/>
  <c r="B109" i="13"/>
  <c r="C109" i="13"/>
  <c r="B110" i="13"/>
  <c r="C110" i="13"/>
  <c r="B111" i="13"/>
  <c r="C111" i="13"/>
  <c r="B112" i="13"/>
  <c r="C112" i="13"/>
  <c r="B113" i="13"/>
  <c r="C113" i="13"/>
  <c r="B114" i="13"/>
  <c r="C114" i="13"/>
  <c r="B115" i="13"/>
  <c r="C115" i="13"/>
  <c r="B116" i="13"/>
  <c r="C116" i="13"/>
  <c r="B117" i="13"/>
  <c r="C117" i="13"/>
  <c r="B118" i="13"/>
  <c r="C118" i="13"/>
  <c r="B119" i="13"/>
  <c r="C119" i="13"/>
  <c r="B120" i="13"/>
  <c r="C120" i="13"/>
  <c r="B121" i="13"/>
  <c r="C121" i="13"/>
  <c r="B122" i="13"/>
  <c r="C122" i="13"/>
  <c r="B123" i="13"/>
  <c r="C123" i="13"/>
  <c r="B124" i="13"/>
  <c r="C124" i="13"/>
  <c r="B125" i="13"/>
  <c r="C125" i="13"/>
  <c r="B126" i="13"/>
  <c r="C126" i="13"/>
  <c r="B127" i="13"/>
  <c r="C127" i="13"/>
  <c r="B128" i="13"/>
  <c r="C128" i="13"/>
  <c r="B129" i="13"/>
  <c r="C129" i="13"/>
  <c r="B130" i="13"/>
  <c r="C130" i="13"/>
  <c r="C7" i="10"/>
  <c r="E7" i="10" s="1"/>
  <c r="I14" i="2"/>
  <c r="J7" i="11"/>
  <c r="E7" i="11"/>
  <c r="D7" i="11" s="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E67" i="11" s="1"/>
  <c r="D67" i="11" s="1"/>
  <c r="G17" i="1"/>
  <c r="G18" i="1"/>
  <c r="G19" i="1"/>
  <c r="C18" i="8"/>
  <c r="B18" i="30" s="1"/>
  <c r="F8" i="4"/>
  <c r="P129" i="9"/>
  <c r="O129" i="9"/>
  <c r="P128" i="9"/>
  <c r="O128" i="9"/>
  <c r="P127" i="9"/>
  <c r="O127" i="9"/>
  <c r="P126" i="9"/>
  <c r="O126" i="9"/>
  <c r="P125" i="9"/>
  <c r="O125" i="9"/>
  <c r="P124" i="9"/>
  <c r="O124" i="9"/>
  <c r="P123" i="9"/>
  <c r="O123" i="9"/>
  <c r="P122" i="9"/>
  <c r="O122" i="9"/>
  <c r="P121" i="9"/>
  <c r="O121" i="9"/>
  <c r="P120" i="9"/>
  <c r="O120" i="9"/>
  <c r="P119" i="9"/>
  <c r="O119" i="9"/>
  <c r="P118" i="9"/>
  <c r="O118" i="9"/>
  <c r="P117" i="9"/>
  <c r="O117" i="9"/>
  <c r="P116" i="9"/>
  <c r="O116" i="9"/>
  <c r="P115" i="9"/>
  <c r="O115" i="9"/>
  <c r="P114" i="9"/>
  <c r="O114" i="9"/>
  <c r="P113" i="9"/>
  <c r="O113" i="9"/>
  <c r="P112" i="9"/>
  <c r="O112" i="9"/>
  <c r="P111" i="9"/>
  <c r="O111" i="9"/>
  <c r="P110" i="9"/>
  <c r="O110" i="9"/>
  <c r="P109" i="9"/>
  <c r="O109" i="9"/>
  <c r="P108" i="9"/>
  <c r="O108" i="9"/>
  <c r="P107" i="9"/>
  <c r="O107" i="9"/>
  <c r="P106" i="9"/>
  <c r="O106" i="9"/>
  <c r="P105" i="9"/>
  <c r="O105" i="9"/>
  <c r="P104" i="9"/>
  <c r="O104" i="9"/>
  <c r="P103" i="9"/>
  <c r="O103" i="9"/>
  <c r="P102" i="9"/>
  <c r="O102" i="9"/>
  <c r="P101" i="9"/>
  <c r="O101" i="9"/>
  <c r="P100" i="9"/>
  <c r="O100" i="9"/>
  <c r="P99" i="9"/>
  <c r="O99" i="9"/>
  <c r="P98" i="9"/>
  <c r="O98" i="9"/>
  <c r="P97" i="9"/>
  <c r="O97" i="9"/>
  <c r="P96" i="9"/>
  <c r="O96" i="9"/>
  <c r="P95" i="9"/>
  <c r="O95" i="9"/>
  <c r="P94" i="9"/>
  <c r="O94" i="9"/>
  <c r="P93" i="9"/>
  <c r="O93" i="9"/>
  <c r="P92" i="9"/>
  <c r="O92" i="9"/>
  <c r="P91" i="9"/>
  <c r="O91" i="9"/>
  <c r="P90" i="9"/>
  <c r="O90" i="9"/>
  <c r="P89" i="9"/>
  <c r="O89" i="9"/>
  <c r="P88" i="9"/>
  <c r="O88" i="9"/>
  <c r="P87" i="9"/>
  <c r="O87" i="9"/>
  <c r="P86" i="9"/>
  <c r="O86" i="9"/>
  <c r="P85" i="9"/>
  <c r="O85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P72" i="9"/>
  <c r="O72" i="9"/>
  <c r="P71" i="9"/>
  <c r="O71" i="9"/>
  <c r="P70" i="9"/>
  <c r="O70" i="9"/>
  <c r="P69" i="9"/>
  <c r="O69" i="9"/>
  <c r="P68" i="9"/>
  <c r="O68" i="9"/>
  <c r="P67" i="9"/>
  <c r="O67" i="9"/>
  <c r="P66" i="9"/>
  <c r="O66" i="9"/>
  <c r="O5" i="9"/>
  <c r="H19" i="1"/>
  <c r="I8" i="2"/>
  <c r="E11" i="10" s="1"/>
  <c r="H51" i="4"/>
  <c r="H52" i="4"/>
  <c r="J52" i="4" s="1"/>
  <c r="H54" i="4"/>
  <c r="I54" i="4" s="1"/>
  <c r="H55" i="4"/>
  <c r="I55" i="4" s="1"/>
  <c r="H56" i="4"/>
  <c r="J56" i="4" s="1"/>
  <c r="H57" i="4"/>
  <c r="I57" i="4" s="1"/>
  <c r="H58" i="4"/>
  <c r="I58" i="4" s="1"/>
  <c r="H59" i="4"/>
  <c r="I59" i="4" s="1"/>
  <c r="H60" i="4"/>
  <c r="J60" i="4" s="1"/>
  <c r="H61" i="4"/>
  <c r="I61" i="4" s="1"/>
  <c r="H62" i="4"/>
  <c r="I62" i="4" s="1"/>
  <c r="H63" i="4"/>
  <c r="I63" i="4" s="1"/>
  <c r="I51" i="4" l="1"/>
  <c r="H8" i="23"/>
  <c r="C8" i="10"/>
  <c r="D8" i="4" s="1"/>
  <c r="C9" i="10"/>
  <c r="B7" i="13"/>
  <c r="E7" i="14"/>
  <c r="J63" i="4"/>
  <c r="J55" i="4"/>
  <c r="D6" i="14"/>
  <c r="H25" i="1"/>
  <c r="H27" i="1" s="1"/>
  <c r="D12" i="1" s="1"/>
  <c r="F27" i="1"/>
  <c r="B8" i="14"/>
  <c r="E8" i="10"/>
  <c r="C11" i="10" s="1"/>
  <c r="J29" i="11"/>
  <c r="K29" i="11" s="1"/>
  <c r="L29" i="11" s="1"/>
  <c r="M29" i="11" s="1"/>
  <c r="N29" i="11" s="1"/>
  <c r="J21" i="11"/>
  <c r="K21" i="11" s="1"/>
  <c r="L21" i="11" s="1"/>
  <c r="M21" i="11" s="1"/>
  <c r="N21" i="11" s="1"/>
  <c r="J13" i="11"/>
  <c r="K13" i="11" s="1"/>
  <c r="L13" i="11" s="1"/>
  <c r="M13" i="11" s="1"/>
  <c r="N13" i="11" s="1"/>
  <c r="J34" i="11"/>
  <c r="K34" i="11" s="1"/>
  <c r="L34" i="11" s="1"/>
  <c r="M34" i="11" s="1"/>
  <c r="N34" i="11" s="1"/>
  <c r="J56" i="11"/>
  <c r="K56" i="11" s="1"/>
  <c r="L56" i="11" s="1"/>
  <c r="M56" i="11" s="1"/>
  <c r="N56" i="11" s="1"/>
  <c r="J10" i="11"/>
  <c r="K10" i="11" s="1"/>
  <c r="L10" i="11" s="1"/>
  <c r="M10" i="11" s="1"/>
  <c r="N10" i="11" s="1"/>
  <c r="J16" i="11"/>
  <c r="K16" i="11" s="1"/>
  <c r="L16" i="11" s="1"/>
  <c r="M16" i="11" s="1"/>
  <c r="N16" i="11" s="1"/>
  <c r="J60" i="11"/>
  <c r="K60" i="11" s="1"/>
  <c r="L60" i="11" s="1"/>
  <c r="M60" i="11" s="1"/>
  <c r="N60" i="11" s="1"/>
  <c r="J28" i="11"/>
  <c r="K28" i="11" s="1"/>
  <c r="L28" i="11" s="1"/>
  <c r="M28" i="11" s="1"/>
  <c r="N28" i="11" s="1"/>
  <c r="J20" i="11"/>
  <c r="K20" i="11" s="1"/>
  <c r="L20" i="11" s="1"/>
  <c r="M20" i="11" s="1"/>
  <c r="N20" i="11" s="1"/>
  <c r="J12" i="11"/>
  <c r="K12" i="11" s="1"/>
  <c r="L12" i="11" s="1"/>
  <c r="M12" i="11" s="1"/>
  <c r="N12" i="11" s="1"/>
  <c r="J30" i="11"/>
  <c r="K30" i="11" s="1"/>
  <c r="L30" i="11" s="1"/>
  <c r="M30" i="11" s="1"/>
  <c r="N30" i="11" s="1"/>
  <c r="J52" i="11"/>
  <c r="K52" i="11" s="1"/>
  <c r="L52" i="11" s="1"/>
  <c r="M52" i="11" s="1"/>
  <c r="N52" i="11" s="1"/>
  <c r="J24" i="11"/>
  <c r="K24" i="11" s="1"/>
  <c r="L24" i="11" s="1"/>
  <c r="M24" i="11" s="1"/>
  <c r="N24" i="11" s="1"/>
  <c r="J38" i="11"/>
  <c r="K38" i="11" s="1"/>
  <c r="L38" i="11" s="1"/>
  <c r="M38" i="11" s="1"/>
  <c r="N38" i="11" s="1"/>
  <c r="J44" i="11"/>
  <c r="K44" i="11" s="1"/>
  <c r="L44" i="11" s="1"/>
  <c r="M44" i="11" s="1"/>
  <c r="N44" i="11" s="1"/>
  <c r="J25" i="11"/>
  <c r="K25" i="11" s="1"/>
  <c r="L25" i="11" s="1"/>
  <c r="M25" i="11" s="1"/>
  <c r="N25" i="11" s="1"/>
  <c r="J17" i="11"/>
  <c r="K17" i="11" s="1"/>
  <c r="L17" i="11" s="1"/>
  <c r="M17" i="11" s="1"/>
  <c r="N17" i="11" s="1"/>
  <c r="J42" i="11"/>
  <c r="K42" i="11" s="1"/>
  <c r="L42" i="11" s="1"/>
  <c r="M42" i="11" s="1"/>
  <c r="N42" i="11" s="1"/>
  <c r="J64" i="11"/>
  <c r="K64" i="11" s="1"/>
  <c r="L64" i="11" s="1"/>
  <c r="M64" i="11" s="1"/>
  <c r="N64" i="11" s="1"/>
  <c r="J48" i="11"/>
  <c r="K48" i="11" s="1"/>
  <c r="L48" i="11" s="1"/>
  <c r="M48" i="11" s="1"/>
  <c r="N48" i="11" s="1"/>
  <c r="J41" i="11"/>
  <c r="K41" i="11" s="1"/>
  <c r="L41" i="11" s="1"/>
  <c r="M41" i="11" s="1"/>
  <c r="N41" i="11" s="1"/>
  <c r="J37" i="11"/>
  <c r="K37" i="11" s="1"/>
  <c r="L37" i="11" s="1"/>
  <c r="M37" i="11" s="1"/>
  <c r="N37" i="11" s="1"/>
  <c r="J33" i="11"/>
  <c r="K33" i="11" s="1"/>
  <c r="L33" i="11" s="1"/>
  <c r="M33" i="11" s="1"/>
  <c r="N33" i="11" s="1"/>
  <c r="J67" i="11"/>
  <c r="K67" i="11" s="1"/>
  <c r="L67" i="11" s="1"/>
  <c r="M67" i="11" s="1"/>
  <c r="N67" i="11" s="1"/>
  <c r="J63" i="11"/>
  <c r="K63" i="11" s="1"/>
  <c r="L63" i="11" s="1"/>
  <c r="M63" i="11" s="1"/>
  <c r="N63" i="11" s="1"/>
  <c r="J59" i="11"/>
  <c r="K59" i="11" s="1"/>
  <c r="L59" i="11" s="1"/>
  <c r="M59" i="11" s="1"/>
  <c r="N59" i="11" s="1"/>
  <c r="J55" i="11"/>
  <c r="K55" i="11" s="1"/>
  <c r="L55" i="11" s="1"/>
  <c r="M55" i="11" s="1"/>
  <c r="N55" i="11" s="1"/>
  <c r="J51" i="11"/>
  <c r="K51" i="11" s="1"/>
  <c r="L51" i="11" s="1"/>
  <c r="M51" i="11" s="1"/>
  <c r="N51" i="11" s="1"/>
  <c r="J47" i="11"/>
  <c r="K47" i="11" s="1"/>
  <c r="L47" i="11" s="1"/>
  <c r="M47" i="11" s="1"/>
  <c r="N47" i="11" s="1"/>
  <c r="J9" i="11"/>
  <c r="K9" i="11" s="1"/>
  <c r="L9" i="11" s="1"/>
  <c r="M9" i="11" s="1"/>
  <c r="N9" i="11" s="1"/>
  <c r="J27" i="11"/>
  <c r="K27" i="11" s="1"/>
  <c r="L27" i="11" s="1"/>
  <c r="M27" i="11" s="1"/>
  <c r="N27" i="11" s="1"/>
  <c r="J23" i="11"/>
  <c r="K23" i="11" s="1"/>
  <c r="L23" i="11" s="1"/>
  <c r="M23" i="11" s="1"/>
  <c r="N23" i="11" s="1"/>
  <c r="J19" i="11"/>
  <c r="K19" i="11" s="1"/>
  <c r="L19" i="11" s="1"/>
  <c r="M19" i="11" s="1"/>
  <c r="N19" i="11" s="1"/>
  <c r="J15" i="11"/>
  <c r="K15" i="11" s="1"/>
  <c r="L15" i="11" s="1"/>
  <c r="M15" i="11" s="1"/>
  <c r="N15" i="11" s="1"/>
  <c r="J11" i="11"/>
  <c r="K11" i="11" s="1"/>
  <c r="L11" i="11" s="1"/>
  <c r="M11" i="11" s="1"/>
  <c r="N11" i="11" s="1"/>
  <c r="J40" i="11"/>
  <c r="K40" i="11" s="1"/>
  <c r="L40" i="11" s="1"/>
  <c r="M40" i="11" s="1"/>
  <c r="N40" i="11" s="1"/>
  <c r="J36" i="11"/>
  <c r="K36" i="11" s="1"/>
  <c r="L36" i="11" s="1"/>
  <c r="M36" i="11" s="1"/>
  <c r="N36" i="11" s="1"/>
  <c r="J32" i="11"/>
  <c r="K32" i="11" s="1"/>
  <c r="L32" i="11" s="1"/>
  <c r="M32" i="11" s="1"/>
  <c r="N32" i="11" s="1"/>
  <c r="J66" i="11"/>
  <c r="K66" i="11" s="1"/>
  <c r="L66" i="11" s="1"/>
  <c r="M66" i="11" s="1"/>
  <c r="N66" i="11" s="1"/>
  <c r="J62" i="11"/>
  <c r="K62" i="11" s="1"/>
  <c r="L62" i="11" s="1"/>
  <c r="M62" i="11" s="1"/>
  <c r="N62" i="11" s="1"/>
  <c r="J58" i="11"/>
  <c r="K58" i="11" s="1"/>
  <c r="L58" i="11" s="1"/>
  <c r="M58" i="11" s="1"/>
  <c r="N58" i="11" s="1"/>
  <c r="J54" i="11"/>
  <c r="K54" i="11" s="1"/>
  <c r="L54" i="11" s="1"/>
  <c r="M54" i="11" s="1"/>
  <c r="N54" i="11" s="1"/>
  <c r="J50" i="11"/>
  <c r="K50" i="11" s="1"/>
  <c r="L50" i="11" s="1"/>
  <c r="M50" i="11" s="1"/>
  <c r="N50" i="11" s="1"/>
  <c r="J46" i="11"/>
  <c r="K46" i="11" s="1"/>
  <c r="L46" i="11" s="1"/>
  <c r="M46" i="11" s="1"/>
  <c r="N46" i="11" s="1"/>
  <c r="J8" i="11"/>
  <c r="K8" i="11" s="1"/>
  <c r="L8" i="11" s="1"/>
  <c r="M8" i="11" s="1"/>
  <c r="N8" i="11" s="1"/>
  <c r="J26" i="11"/>
  <c r="K26" i="11" s="1"/>
  <c r="L26" i="11" s="1"/>
  <c r="M26" i="11" s="1"/>
  <c r="N26" i="11" s="1"/>
  <c r="J22" i="11"/>
  <c r="K22" i="11" s="1"/>
  <c r="L22" i="11" s="1"/>
  <c r="M22" i="11" s="1"/>
  <c r="N22" i="11" s="1"/>
  <c r="J18" i="11"/>
  <c r="K18" i="11" s="1"/>
  <c r="L18" i="11" s="1"/>
  <c r="M18" i="11" s="1"/>
  <c r="N18" i="11" s="1"/>
  <c r="J14" i="11"/>
  <c r="K14" i="11" s="1"/>
  <c r="L14" i="11" s="1"/>
  <c r="M14" i="11" s="1"/>
  <c r="N14" i="11" s="1"/>
  <c r="J43" i="11"/>
  <c r="K43" i="11" s="1"/>
  <c r="L43" i="11" s="1"/>
  <c r="M43" i="11" s="1"/>
  <c r="N43" i="11" s="1"/>
  <c r="J39" i="11"/>
  <c r="K39" i="11" s="1"/>
  <c r="L39" i="11" s="1"/>
  <c r="M39" i="11" s="1"/>
  <c r="N39" i="11" s="1"/>
  <c r="J35" i="11"/>
  <c r="K35" i="11" s="1"/>
  <c r="L35" i="11" s="1"/>
  <c r="M35" i="11" s="1"/>
  <c r="N35" i="11" s="1"/>
  <c r="J31" i="11"/>
  <c r="K31" i="11" s="1"/>
  <c r="L31" i="11" s="1"/>
  <c r="M31" i="11" s="1"/>
  <c r="N31" i="11" s="1"/>
  <c r="J65" i="11"/>
  <c r="K65" i="11" s="1"/>
  <c r="L65" i="11" s="1"/>
  <c r="M65" i="11" s="1"/>
  <c r="N65" i="11" s="1"/>
  <c r="J61" i="11"/>
  <c r="K61" i="11" s="1"/>
  <c r="L61" i="11" s="1"/>
  <c r="M61" i="11" s="1"/>
  <c r="N61" i="11" s="1"/>
  <c r="J57" i="11"/>
  <c r="K57" i="11" s="1"/>
  <c r="L57" i="11" s="1"/>
  <c r="M57" i="11" s="1"/>
  <c r="N57" i="11" s="1"/>
  <c r="J53" i="11"/>
  <c r="K53" i="11" s="1"/>
  <c r="L53" i="11" s="1"/>
  <c r="M53" i="11" s="1"/>
  <c r="N53" i="11" s="1"/>
  <c r="J49" i="11"/>
  <c r="K49" i="11" s="1"/>
  <c r="L49" i="11" s="1"/>
  <c r="M49" i="11" s="1"/>
  <c r="N49" i="11" s="1"/>
  <c r="J45" i="11"/>
  <c r="K45" i="11" s="1"/>
  <c r="L45" i="11" s="1"/>
  <c r="M45" i="11" s="1"/>
  <c r="N45" i="11" s="1"/>
  <c r="E25" i="11"/>
  <c r="D25" i="11" s="1"/>
  <c r="E21" i="11"/>
  <c r="D21" i="11" s="1"/>
  <c r="E17" i="11"/>
  <c r="D17" i="11" s="1"/>
  <c r="E13" i="11"/>
  <c r="D13" i="11" s="1"/>
  <c r="E9" i="11"/>
  <c r="D9" i="11" s="1"/>
  <c r="E65" i="11"/>
  <c r="D65" i="11" s="1"/>
  <c r="E61" i="11"/>
  <c r="D61" i="11" s="1"/>
  <c r="E57" i="11"/>
  <c r="D57" i="11" s="1"/>
  <c r="E53" i="11"/>
  <c r="D53" i="11" s="1"/>
  <c r="E49" i="11"/>
  <c r="D49" i="11" s="1"/>
  <c r="E45" i="11"/>
  <c r="D45" i="11" s="1"/>
  <c r="E41" i="11"/>
  <c r="D41" i="11" s="1"/>
  <c r="E37" i="11"/>
  <c r="D37" i="11" s="1"/>
  <c r="E33" i="11"/>
  <c r="D33" i="11" s="1"/>
  <c r="E29" i="11"/>
  <c r="D29" i="11" s="1"/>
  <c r="E24" i="11"/>
  <c r="D24" i="11" s="1"/>
  <c r="E20" i="11"/>
  <c r="D20" i="11" s="1"/>
  <c r="E16" i="11"/>
  <c r="D16" i="11" s="1"/>
  <c r="E12" i="11"/>
  <c r="D12" i="11" s="1"/>
  <c r="E8" i="11"/>
  <c r="D8" i="11" s="1"/>
  <c r="E64" i="11"/>
  <c r="D64" i="11" s="1"/>
  <c r="E60" i="11"/>
  <c r="D60" i="11" s="1"/>
  <c r="E56" i="11"/>
  <c r="D56" i="11" s="1"/>
  <c r="E52" i="11"/>
  <c r="D52" i="11" s="1"/>
  <c r="E48" i="11"/>
  <c r="D48" i="11" s="1"/>
  <c r="E44" i="11"/>
  <c r="D44" i="11" s="1"/>
  <c r="E40" i="11"/>
  <c r="D40" i="11" s="1"/>
  <c r="E36" i="11"/>
  <c r="D36" i="11" s="1"/>
  <c r="E32" i="11"/>
  <c r="D32" i="11" s="1"/>
  <c r="E28" i="11"/>
  <c r="D28" i="11" s="1"/>
  <c r="K7" i="11"/>
  <c r="L7" i="11" s="1"/>
  <c r="M7" i="11" s="1"/>
  <c r="N7" i="11" s="1"/>
  <c r="E23" i="11"/>
  <c r="D23" i="11" s="1"/>
  <c r="E19" i="11"/>
  <c r="D19" i="11" s="1"/>
  <c r="E15" i="11"/>
  <c r="D15" i="11" s="1"/>
  <c r="E11" i="11"/>
  <c r="D11" i="11" s="1"/>
  <c r="E63" i="11"/>
  <c r="D63" i="11" s="1"/>
  <c r="E59" i="11"/>
  <c r="D59" i="11" s="1"/>
  <c r="E55" i="11"/>
  <c r="D55" i="11" s="1"/>
  <c r="E51" i="11"/>
  <c r="D51" i="11" s="1"/>
  <c r="E47" i="11"/>
  <c r="D47" i="11" s="1"/>
  <c r="E43" i="11"/>
  <c r="D43" i="11" s="1"/>
  <c r="E39" i="11"/>
  <c r="D39" i="11" s="1"/>
  <c r="E35" i="11"/>
  <c r="D35" i="11" s="1"/>
  <c r="E31" i="11"/>
  <c r="D31" i="11" s="1"/>
  <c r="E27" i="11"/>
  <c r="D27" i="11" s="1"/>
  <c r="E22" i="11"/>
  <c r="D22" i="11" s="1"/>
  <c r="E18" i="11"/>
  <c r="D18" i="11" s="1"/>
  <c r="E14" i="11"/>
  <c r="D14" i="11" s="1"/>
  <c r="E10" i="11"/>
  <c r="D10" i="11" s="1"/>
  <c r="E66" i="11"/>
  <c r="D66" i="11" s="1"/>
  <c r="E62" i="11"/>
  <c r="D62" i="11" s="1"/>
  <c r="E58" i="11"/>
  <c r="D58" i="11" s="1"/>
  <c r="E54" i="11"/>
  <c r="D54" i="11" s="1"/>
  <c r="E50" i="11"/>
  <c r="D50" i="11" s="1"/>
  <c r="E46" i="11"/>
  <c r="D46" i="11" s="1"/>
  <c r="E42" i="11"/>
  <c r="D42" i="11" s="1"/>
  <c r="E38" i="11"/>
  <c r="D38" i="11" s="1"/>
  <c r="E34" i="11"/>
  <c r="D34" i="11" s="1"/>
  <c r="E30" i="11"/>
  <c r="D30" i="11" s="1"/>
  <c r="E26" i="11"/>
  <c r="D26" i="11" s="1"/>
  <c r="H18" i="1"/>
  <c r="I18" i="1" s="1"/>
  <c r="H16" i="1"/>
  <c r="I16" i="1" s="1"/>
  <c r="G20" i="1"/>
  <c r="D9" i="1" s="1"/>
  <c r="O6" i="9"/>
  <c r="H17" i="1"/>
  <c r="I17" i="1" s="1"/>
  <c r="F16" i="1"/>
  <c r="I19" i="1"/>
  <c r="F19" i="1"/>
  <c r="D20" i="1"/>
  <c r="F17" i="1"/>
  <c r="F18" i="1"/>
  <c r="J62" i="4"/>
  <c r="J54" i="4"/>
  <c r="J59" i="4"/>
  <c r="J51" i="4"/>
  <c r="J58" i="4"/>
  <c r="I60" i="4"/>
  <c r="I52" i="4"/>
  <c r="J61" i="4"/>
  <c r="J57" i="4"/>
  <c r="I56" i="4"/>
  <c r="D7" i="14" l="1"/>
  <c r="C7" i="13" s="1"/>
  <c r="F9" i="23"/>
  <c r="H10" i="23"/>
  <c r="G8" i="23"/>
  <c r="G9" i="9"/>
  <c r="H9" i="23"/>
  <c r="E9" i="10"/>
  <c r="E8" i="4"/>
  <c r="C6" i="13"/>
  <c r="E8" i="14"/>
  <c r="B8" i="13"/>
  <c r="B9" i="14"/>
  <c r="F20" i="1"/>
  <c r="U11" i="11"/>
  <c r="U9" i="11"/>
  <c r="U14" i="11"/>
  <c r="U13" i="11"/>
  <c r="U12" i="11"/>
  <c r="U7" i="11"/>
  <c r="U8" i="11"/>
  <c r="U10" i="11"/>
  <c r="I20" i="1"/>
  <c r="D10" i="1" s="1"/>
  <c r="O7" i="9"/>
  <c r="H20" i="1"/>
  <c r="P5" i="9"/>
  <c r="I9" i="2"/>
  <c r="G9" i="23" l="1"/>
  <c r="F10" i="23"/>
  <c r="X9" i="14"/>
  <c r="X7" i="14"/>
  <c r="X13" i="14"/>
  <c r="X12" i="14"/>
  <c r="X8" i="14"/>
  <c r="X11" i="14"/>
  <c r="X10" i="14"/>
  <c r="C7" i="23"/>
  <c r="C8" i="23" s="1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B2" i="26"/>
  <c r="B3" i="26" s="1"/>
  <c r="B4" i="26" s="1"/>
  <c r="B5" i="26" s="1"/>
  <c r="B6" i="26" s="1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D8" i="14"/>
  <c r="C6" i="14"/>
  <c r="F6" i="14" s="1"/>
  <c r="C7" i="21"/>
  <c r="G6" i="22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13" i="8"/>
  <c r="F13" i="30" s="1"/>
  <c r="C7" i="14"/>
  <c r="D11" i="1"/>
  <c r="E9" i="14"/>
  <c r="B10" i="14"/>
  <c r="B9" i="13"/>
  <c r="C7" i="11"/>
  <c r="P6" i="9"/>
  <c r="D5" i="1"/>
  <c r="O8" i="9"/>
  <c r="P7" i="9" l="1"/>
  <c r="C8" i="21"/>
  <c r="C7" i="32"/>
  <c r="F11" i="23"/>
  <c r="H11" i="23"/>
  <c r="G10" i="23"/>
  <c r="C8" i="13"/>
  <c r="D9" i="14"/>
  <c r="C9" i="13"/>
  <c r="D7" i="1"/>
  <c r="C8" i="11"/>
  <c r="F7" i="11"/>
  <c r="H7" i="11" s="1"/>
  <c r="F7" i="14"/>
  <c r="C8" i="14"/>
  <c r="B11" i="14"/>
  <c r="E10" i="14"/>
  <c r="D10" i="14" s="1"/>
  <c r="B10" i="13"/>
  <c r="O9" i="9"/>
  <c r="C9" i="21" l="1"/>
  <c r="C8" i="32"/>
  <c r="H12" i="23"/>
  <c r="F12" i="23"/>
  <c r="G11" i="23"/>
  <c r="C10" i="13"/>
  <c r="F11" i="18"/>
  <c r="K19" i="22"/>
  <c r="C9" i="11"/>
  <c r="F8" i="11"/>
  <c r="H8" i="11" s="1"/>
  <c r="F8" i="14"/>
  <c r="C9" i="14"/>
  <c r="B12" i="14"/>
  <c r="E11" i="14"/>
  <c r="B11" i="13"/>
  <c r="P9" i="9"/>
  <c r="P8" i="9"/>
  <c r="O10" i="9"/>
  <c r="G12" i="23" l="1"/>
  <c r="C10" i="21"/>
  <c r="C9" i="32"/>
  <c r="D11" i="14"/>
  <c r="H13" i="23"/>
  <c r="H14" i="23"/>
  <c r="M19" i="22"/>
  <c r="P19" i="22" s="1"/>
  <c r="M20" i="33" s="1"/>
  <c r="C10" i="11"/>
  <c r="F9" i="11"/>
  <c r="H9" i="11" s="1"/>
  <c r="C11" i="13"/>
  <c r="C10" i="14"/>
  <c r="F9" i="14"/>
  <c r="E12" i="14"/>
  <c r="D12" i="14" s="1"/>
  <c r="C12" i="13" s="1"/>
  <c r="B13" i="14"/>
  <c r="B12" i="13"/>
  <c r="O11" i="9"/>
  <c r="C11" i="21" l="1"/>
  <c r="C10" i="32"/>
  <c r="F14" i="23"/>
  <c r="G14" i="23" s="1"/>
  <c r="J20" i="22"/>
  <c r="L20" i="22" s="1"/>
  <c r="J21" i="28"/>
  <c r="R19" i="22"/>
  <c r="O20" i="22" s="1"/>
  <c r="Q20" i="22"/>
  <c r="M20" i="23"/>
  <c r="C11" i="11"/>
  <c r="F10" i="11"/>
  <c r="H10" i="11" s="1"/>
  <c r="C11" i="14"/>
  <c r="F10" i="14"/>
  <c r="E13" i="14"/>
  <c r="D13" i="14" s="1"/>
  <c r="C13" i="13" s="1"/>
  <c r="B14" i="14"/>
  <c r="B13" i="13"/>
  <c r="P10" i="9"/>
  <c r="O12" i="9"/>
  <c r="C12" i="21" l="1"/>
  <c r="C11" i="32"/>
  <c r="M20" i="22"/>
  <c r="J21" i="22" s="1"/>
  <c r="C12" i="11"/>
  <c r="F11" i="11"/>
  <c r="H11" i="11" s="1"/>
  <c r="F11" i="14"/>
  <c r="C12" i="14"/>
  <c r="B15" i="14"/>
  <c r="E14" i="14"/>
  <c r="D14" i="14" s="1"/>
  <c r="B14" i="13"/>
  <c r="P12" i="9"/>
  <c r="O13" i="9"/>
  <c r="P11" i="9"/>
  <c r="C14" i="13" l="1"/>
  <c r="C13" i="21"/>
  <c r="C12" i="32"/>
  <c r="P20" i="22"/>
  <c r="M21" i="23"/>
  <c r="L21" i="22"/>
  <c r="F12" i="11"/>
  <c r="H12" i="11" s="1"/>
  <c r="C13" i="11"/>
  <c r="C13" i="14"/>
  <c r="F12" i="14"/>
  <c r="B16" i="14"/>
  <c r="E15" i="14"/>
  <c r="D15" i="14" s="1"/>
  <c r="C15" i="13" s="1"/>
  <c r="B15" i="13"/>
  <c r="P13" i="9"/>
  <c r="O14" i="9"/>
  <c r="Q21" i="22" l="1"/>
  <c r="M21" i="33"/>
  <c r="C14" i="21"/>
  <c r="C13" i="32"/>
  <c r="J22" i="28"/>
  <c r="R20" i="22"/>
  <c r="O21" i="22" s="1"/>
  <c r="M21" i="22"/>
  <c r="J22" i="22" s="1"/>
  <c r="F13" i="11"/>
  <c r="H13" i="11" s="1"/>
  <c r="C14" i="11"/>
  <c r="C14" i="14"/>
  <c r="F13" i="14"/>
  <c r="E16" i="14"/>
  <c r="D16" i="14" s="1"/>
  <c r="C16" i="13" s="1"/>
  <c r="B17" i="14"/>
  <c r="B16" i="13"/>
  <c r="O15" i="9"/>
  <c r="P14" i="9"/>
  <c r="C15" i="21" l="1"/>
  <c r="C14" i="32"/>
  <c r="P21" i="22"/>
  <c r="J23" i="28"/>
  <c r="M22" i="23"/>
  <c r="L22" i="22"/>
  <c r="F14" i="11"/>
  <c r="H14" i="11" s="1"/>
  <c r="C15" i="11"/>
  <c r="C15" i="14"/>
  <c r="F14" i="14"/>
  <c r="E17" i="14"/>
  <c r="D17" i="14" s="1"/>
  <c r="C17" i="13" s="1"/>
  <c r="B18" i="14"/>
  <c r="B17" i="13"/>
  <c r="P15" i="9"/>
  <c r="O16" i="9"/>
  <c r="Q22" i="22" l="1"/>
  <c r="M22" i="33"/>
  <c r="C16" i="21"/>
  <c r="C15" i="32"/>
  <c r="R21" i="22"/>
  <c r="O22" i="22" s="1"/>
  <c r="M22" i="22"/>
  <c r="J23" i="22" s="1"/>
  <c r="F15" i="11"/>
  <c r="H15" i="11" s="1"/>
  <c r="C16" i="11"/>
  <c r="F15" i="14"/>
  <c r="C16" i="14"/>
  <c r="B19" i="14"/>
  <c r="E18" i="14"/>
  <c r="D18" i="14" s="1"/>
  <c r="C18" i="13" s="1"/>
  <c r="B18" i="13"/>
  <c r="O17" i="9"/>
  <c r="P16" i="9"/>
  <c r="C17" i="21" l="1"/>
  <c r="C16" i="32"/>
  <c r="P22" i="22"/>
  <c r="L23" i="22"/>
  <c r="M23" i="22" s="1"/>
  <c r="F16" i="11"/>
  <c r="H16" i="11" s="1"/>
  <c r="C17" i="11"/>
  <c r="F16" i="14"/>
  <c r="C17" i="14"/>
  <c r="B20" i="14"/>
  <c r="E19" i="14"/>
  <c r="D19" i="14" s="1"/>
  <c r="C19" i="13" s="1"/>
  <c r="B19" i="13"/>
  <c r="O18" i="9"/>
  <c r="P17" i="9"/>
  <c r="R22" i="22" l="1"/>
  <c r="O23" i="22" s="1"/>
  <c r="M23" i="33"/>
  <c r="C18" i="21"/>
  <c r="C17" i="32"/>
  <c r="M23" i="23"/>
  <c r="Q23" i="22"/>
  <c r="J24" i="28"/>
  <c r="J24" i="22"/>
  <c r="P23" i="22"/>
  <c r="F17" i="11"/>
  <c r="H17" i="11" s="1"/>
  <c r="C18" i="11"/>
  <c r="F17" i="14"/>
  <c r="C18" i="14"/>
  <c r="E20" i="14"/>
  <c r="D20" i="14" s="1"/>
  <c r="C20" i="13" s="1"/>
  <c r="B20" i="13"/>
  <c r="B21" i="14"/>
  <c r="P18" i="9"/>
  <c r="O19" i="9"/>
  <c r="J25" i="28" l="1"/>
  <c r="M24" i="33"/>
  <c r="C19" i="21"/>
  <c r="C18" i="32"/>
  <c r="Q24" i="22"/>
  <c r="M24" i="23"/>
  <c r="R23" i="22"/>
  <c r="O24" i="22" s="1"/>
  <c r="L24" i="22"/>
  <c r="M24" i="22" s="1"/>
  <c r="F18" i="11"/>
  <c r="H18" i="11" s="1"/>
  <c r="C19" i="11"/>
  <c r="C19" i="14"/>
  <c r="F18" i="14"/>
  <c r="E21" i="14"/>
  <c r="D21" i="14" s="1"/>
  <c r="C21" i="13" s="1"/>
  <c r="B22" i="14"/>
  <c r="B21" i="13"/>
  <c r="P19" i="9"/>
  <c r="O20" i="9"/>
  <c r="C20" i="21" l="1"/>
  <c r="C19" i="32"/>
  <c r="J25" i="22"/>
  <c r="P24" i="22"/>
  <c r="F19" i="11"/>
  <c r="H19" i="11" s="1"/>
  <c r="C20" i="11"/>
  <c r="C20" i="14"/>
  <c r="F19" i="14"/>
  <c r="B23" i="14"/>
  <c r="B22" i="13"/>
  <c r="E22" i="14"/>
  <c r="D22" i="14" s="1"/>
  <c r="C22" i="13" s="1"/>
  <c r="O21" i="9"/>
  <c r="P20" i="9"/>
  <c r="J26" i="28" l="1"/>
  <c r="M25" i="33"/>
  <c r="C21" i="21"/>
  <c r="C20" i="32"/>
  <c r="R24" i="22"/>
  <c r="O25" i="22" s="1"/>
  <c r="Q25" i="22"/>
  <c r="M25" i="23"/>
  <c r="L25" i="22"/>
  <c r="M25" i="22" s="1"/>
  <c r="F20" i="11"/>
  <c r="H20" i="11" s="1"/>
  <c r="C21" i="11"/>
  <c r="F20" i="14"/>
  <c r="C21" i="14"/>
  <c r="B24" i="14"/>
  <c r="E23" i="14"/>
  <c r="D23" i="14" s="1"/>
  <c r="C23" i="13" s="1"/>
  <c r="B23" i="13"/>
  <c r="P21" i="9"/>
  <c r="O22" i="9"/>
  <c r="C22" i="21" l="1"/>
  <c r="C21" i="32"/>
  <c r="J26" i="22"/>
  <c r="P25" i="22"/>
  <c r="F21" i="11"/>
  <c r="H21" i="11" s="1"/>
  <c r="C22" i="11"/>
  <c r="F21" i="14"/>
  <c r="C22" i="14"/>
  <c r="E24" i="14"/>
  <c r="D24" i="14" s="1"/>
  <c r="C24" i="13" s="1"/>
  <c r="B25" i="14"/>
  <c r="B24" i="13"/>
  <c r="P22" i="9"/>
  <c r="O23" i="9"/>
  <c r="J27" i="28" l="1"/>
  <c r="M26" i="33"/>
  <c r="C23" i="21"/>
  <c r="C22" i="32"/>
  <c r="Q26" i="22"/>
  <c r="M26" i="23"/>
  <c r="R25" i="22"/>
  <c r="O26" i="22" s="1"/>
  <c r="L26" i="22"/>
  <c r="M26" i="22" s="1"/>
  <c r="F22" i="11"/>
  <c r="H22" i="11" s="1"/>
  <c r="C23" i="11"/>
  <c r="C23" i="14"/>
  <c r="F22" i="14"/>
  <c r="E25" i="14"/>
  <c r="D25" i="14" s="1"/>
  <c r="C25" i="13" s="1"/>
  <c r="B26" i="14"/>
  <c r="B25" i="13"/>
  <c r="P23" i="9"/>
  <c r="O24" i="9"/>
  <c r="C24" i="21" l="1"/>
  <c r="C23" i="32"/>
  <c r="J27" i="22"/>
  <c r="P26" i="22"/>
  <c r="M27" i="33" s="1"/>
  <c r="F23" i="11"/>
  <c r="H23" i="11" s="1"/>
  <c r="C24" i="11"/>
  <c r="F23" i="14"/>
  <c r="C24" i="14"/>
  <c r="B27" i="14"/>
  <c r="E26" i="14"/>
  <c r="D26" i="14" s="1"/>
  <c r="C26" i="13" s="1"/>
  <c r="B26" i="13"/>
  <c r="P24" i="9"/>
  <c r="O25" i="9"/>
  <c r="C25" i="21" l="1"/>
  <c r="C24" i="32"/>
  <c r="R26" i="22"/>
  <c r="O27" i="22" s="1"/>
  <c r="J28" i="28"/>
  <c r="Q27" i="22"/>
  <c r="M27" i="23"/>
  <c r="L27" i="22"/>
  <c r="M27" i="22" s="1"/>
  <c r="F24" i="11"/>
  <c r="H24" i="11" s="1"/>
  <c r="C25" i="11"/>
  <c r="C25" i="14"/>
  <c r="F24" i="14"/>
  <c r="B28" i="14"/>
  <c r="E27" i="14"/>
  <c r="D27" i="14" s="1"/>
  <c r="C27" i="13" s="1"/>
  <c r="B27" i="13"/>
  <c r="P25" i="9"/>
  <c r="O26" i="9"/>
  <c r="C26" i="21" l="1"/>
  <c r="C25" i="32"/>
  <c r="J28" i="22"/>
  <c r="P27" i="22"/>
  <c r="F25" i="11"/>
  <c r="H25" i="11" s="1"/>
  <c r="C26" i="11"/>
  <c r="C26" i="14"/>
  <c r="F25" i="14"/>
  <c r="E28" i="14"/>
  <c r="D28" i="14" s="1"/>
  <c r="C28" i="13" s="1"/>
  <c r="B29" i="14"/>
  <c r="B28" i="13"/>
  <c r="P26" i="9"/>
  <c r="O27" i="9"/>
  <c r="J29" i="28" l="1"/>
  <c r="M28" i="33"/>
  <c r="C27" i="21"/>
  <c r="C26" i="32"/>
  <c r="Q28" i="22"/>
  <c r="M28" i="23"/>
  <c r="R27" i="22"/>
  <c r="O28" i="22" s="1"/>
  <c r="L28" i="22"/>
  <c r="M28" i="22" s="1"/>
  <c r="F26" i="11"/>
  <c r="H26" i="11" s="1"/>
  <c r="C27" i="11"/>
  <c r="C27" i="14"/>
  <c r="F26" i="14"/>
  <c r="B30" i="14"/>
  <c r="E29" i="14"/>
  <c r="D29" i="14" s="1"/>
  <c r="C29" i="13" s="1"/>
  <c r="B29" i="13"/>
  <c r="P27" i="9"/>
  <c r="O28" i="9"/>
  <c r="C28" i="21" l="1"/>
  <c r="C27" i="32"/>
  <c r="J29" i="22"/>
  <c r="P28" i="22"/>
  <c r="M29" i="33" s="1"/>
  <c r="F27" i="11"/>
  <c r="H27" i="11" s="1"/>
  <c r="C28" i="11"/>
  <c r="F27" i="14"/>
  <c r="C28" i="14"/>
  <c r="B31" i="14"/>
  <c r="E30" i="14"/>
  <c r="D30" i="14" s="1"/>
  <c r="C30" i="13" s="1"/>
  <c r="B30" i="13"/>
  <c r="P28" i="9"/>
  <c r="O29" i="9"/>
  <c r="C29" i="21" l="1"/>
  <c r="C28" i="32"/>
  <c r="R28" i="22"/>
  <c r="O29" i="22" s="1"/>
  <c r="J30" i="28"/>
  <c r="Q29" i="22"/>
  <c r="M29" i="23"/>
  <c r="L29" i="22"/>
  <c r="M29" i="22" s="1"/>
  <c r="F28" i="11"/>
  <c r="H28" i="11" s="1"/>
  <c r="C29" i="11"/>
  <c r="F28" i="14"/>
  <c r="C29" i="14"/>
  <c r="B32" i="14"/>
  <c r="E31" i="14"/>
  <c r="D31" i="14" s="1"/>
  <c r="C31" i="13" s="1"/>
  <c r="B31" i="13"/>
  <c r="P29" i="9"/>
  <c r="O30" i="9"/>
  <c r="C30" i="21" l="1"/>
  <c r="C29" i="32"/>
  <c r="J30" i="22"/>
  <c r="P29" i="22"/>
  <c r="M30" i="33" s="1"/>
  <c r="F29" i="11"/>
  <c r="H29" i="11" s="1"/>
  <c r="C30" i="11"/>
  <c r="C30" i="14"/>
  <c r="F29" i="14"/>
  <c r="E32" i="14"/>
  <c r="D32" i="14" s="1"/>
  <c r="C32" i="13" s="1"/>
  <c r="B33" i="14"/>
  <c r="B32" i="13"/>
  <c r="P30" i="9"/>
  <c r="O31" i="9"/>
  <c r="C31" i="21" l="1"/>
  <c r="C30" i="32"/>
  <c r="J31" i="28"/>
  <c r="Q30" i="22"/>
  <c r="M30" i="23"/>
  <c r="R29" i="22"/>
  <c r="O30" i="22" s="1"/>
  <c r="L30" i="22"/>
  <c r="M30" i="22" s="1"/>
  <c r="F30" i="11"/>
  <c r="H30" i="11" s="1"/>
  <c r="C31" i="11"/>
  <c r="F30" i="14"/>
  <c r="C31" i="14"/>
  <c r="E33" i="14"/>
  <c r="D33" i="14" s="1"/>
  <c r="C33" i="13" s="1"/>
  <c r="B34" i="14"/>
  <c r="B33" i="13"/>
  <c r="P31" i="9"/>
  <c r="O32" i="9"/>
  <c r="C32" i="21" l="1"/>
  <c r="C31" i="32"/>
  <c r="J31" i="22"/>
  <c r="P30" i="22"/>
  <c r="M31" i="33" s="1"/>
  <c r="F31" i="11"/>
  <c r="H31" i="11" s="1"/>
  <c r="C32" i="11"/>
  <c r="F31" i="14"/>
  <c r="C32" i="14"/>
  <c r="B35" i="14"/>
  <c r="E34" i="14"/>
  <c r="D34" i="14" s="1"/>
  <c r="C34" i="13" s="1"/>
  <c r="B34" i="13"/>
  <c r="P32" i="9"/>
  <c r="O33" i="9"/>
  <c r="C33" i="21" l="1"/>
  <c r="C32" i="32"/>
  <c r="R30" i="22"/>
  <c r="O31" i="22" s="1"/>
  <c r="J32" i="28"/>
  <c r="Q31" i="22"/>
  <c r="M31" i="23"/>
  <c r="L31" i="22"/>
  <c r="M31" i="22" s="1"/>
  <c r="F32" i="11"/>
  <c r="H32" i="11" s="1"/>
  <c r="C33" i="11"/>
  <c r="C33" i="14"/>
  <c r="F32" i="14"/>
  <c r="E35" i="14"/>
  <c r="D35" i="14" s="1"/>
  <c r="C35" i="13" s="1"/>
  <c r="B36" i="14"/>
  <c r="B35" i="13"/>
  <c r="P33" i="9"/>
  <c r="O34" i="9"/>
  <c r="C34" i="21" l="1"/>
  <c r="C33" i="32"/>
  <c r="J32" i="22"/>
  <c r="P31" i="22"/>
  <c r="M32" i="33" s="1"/>
  <c r="F33" i="11"/>
  <c r="H33" i="11" s="1"/>
  <c r="C34" i="11"/>
  <c r="C34" i="14"/>
  <c r="F33" i="14"/>
  <c r="E36" i="14"/>
  <c r="B37" i="14"/>
  <c r="B36" i="13"/>
  <c r="P34" i="9"/>
  <c r="O35" i="9"/>
  <c r="C35" i="21" l="1"/>
  <c r="C34" i="32"/>
  <c r="B10" i="10"/>
  <c r="B14" i="10"/>
  <c r="B12" i="10"/>
  <c r="B13" i="10"/>
  <c r="B11" i="10"/>
  <c r="B9" i="10"/>
  <c r="E9" i="4" s="1"/>
  <c r="J33" i="28"/>
  <c r="Q32" i="22"/>
  <c r="M32" i="23"/>
  <c r="R31" i="22"/>
  <c r="O32" i="22" s="1"/>
  <c r="L32" i="22"/>
  <c r="M32" i="22" s="1"/>
  <c r="D36" i="14"/>
  <c r="C36" i="13" s="1"/>
  <c r="F34" i="11"/>
  <c r="H34" i="11" s="1"/>
  <c r="C35" i="11"/>
  <c r="C35" i="14"/>
  <c r="F34" i="14"/>
  <c r="B38" i="14"/>
  <c r="E37" i="14"/>
  <c r="D37" i="14" s="1"/>
  <c r="C37" i="13" s="1"/>
  <c r="B37" i="13"/>
  <c r="B8" i="10"/>
  <c r="D9" i="4" s="1"/>
  <c r="O36" i="9"/>
  <c r="C36" i="21" l="1"/>
  <c r="C35" i="32"/>
  <c r="P32" i="22"/>
  <c r="M33" i="33" s="1"/>
  <c r="J33" i="22"/>
  <c r="F9" i="4"/>
  <c r="G10" i="6"/>
  <c r="G14" i="6"/>
  <c r="G11" i="6"/>
  <c r="G19" i="6"/>
  <c r="G8" i="6"/>
  <c r="G9" i="6"/>
  <c r="G13" i="6"/>
  <c r="G6" i="6"/>
  <c r="G18" i="6"/>
  <c r="G17" i="6"/>
  <c r="G7" i="6"/>
  <c r="G15" i="6"/>
  <c r="G12" i="6"/>
  <c r="G16" i="6"/>
  <c r="F35" i="11"/>
  <c r="H35" i="11" s="1"/>
  <c r="C36" i="11"/>
  <c r="G5" i="6"/>
  <c r="F35" i="14"/>
  <c r="C36" i="14"/>
  <c r="B39" i="14"/>
  <c r="E38" i="14"/>
  <c r="D38" i="14" s="1"/>
  <c r="C38" i="13" s="1"/>
  <c r="B38" i="13"/>
  <c r="O37" i="9"/>
  <c r="P35" i="9"/>
  <c r="P36" i="9"/>
  <c r="C37" i="21" l="1"/>
  <c r="C36" i="32"/>
  <c r="I12" i="6"/>
  <c r="F12" i="6"/>
  <c r="F15" i="6"/>
  <c r="I15" i="6"/>
  <c r="I6" i="6"/>
  <c r="F6" i="6"/>
  <c r="F19" i="6"/>
  <c r="I19" i="6"/>
  <c r="I7" i="6"/>
  <c r="F7" i="6"/>
  <c r="I11" i="6"/>
  <c r="F11" i="6"/>
  <c r="I13" i="6"/>
  <c r="F13" i="6"/>
  <c r="F5" i="6"/>
  <c r="I5" i="6"/>
  <c r="I8" i="28"/>
  <c r="G9" i="28"/>
  <c r="I10" i="28"/>
  <c r="F8" i="28"/>
  <c r="I13" i="28" s="1"/>
  <c r="F10" i="28"/>
  <c r="H9" i="28"/>
  <c r="I9" i="28"/>
  <c r="H10" i="28"/>
  <c r="H8" i="28"/>
  <c r="G8" i="28"/>
  <c r="F9" i="28"/>
  <c r="G10" i="28"/>
  <c r="H11" i="28"/>
  <c r="F11" i="28"/>
  <c r="G11" i="28"/>
  <c r="I11" i="28"/>
  <c r="F12" i="28"/>
  <c r="H12" i="28"/>
  <c r="I12" i="28"/>
  <c r="G12" i="28"/>
  <c r="G13" i="28"/>
  <c r="F13" i="28"/>
  <c r="H13" i="28"/>
  <c r="G14" i="28"/>
  <c r="F14" i="28"/>
  <c r="H14" i="28"/>
  <c r="G15" i="28"/>
  <c r="H15" i="28"/>
  <c r="F15" i="28"/>
  <c r="F16" i="28"/>
  <c r="G16" i="28"/>
  <c r="H16" i="28"/>
  <c r="F17" i="28"/>
  <c r="G17" i="28"/>
  <c r="H17" i="28"/>
  <c r="F18" i="28"/>
  <c r="G18" i="28"/>
  <c r="H18" i="28"/>
  <c r="F19" i="28"/>
  <c r="H19" i="28"/>
  <c r="G19" i="28"/>
  <c r="F20" i="28"/>
  <c r="G20" i="28"/>
  <c r="H20" i="28"/>
  <c r="F21" i="28"/>
  <c r="G21" i="28"/>
  <c r="H21" i="28"/>
  <c r="F22" i="28"/>
  <c r="H22" i="28"/>
  <c r="G22" i="28"/>
  <c r="F23" i="28"/>
  <c r="G23" i="28"/>
  <c r="H23" i="28"/>
  <c r="G24" i="28"/>
  <c r="F24" i="28"/>
  <c r="H24" i="28"/>
  <c r="G25" i="28"/>
  <c r="F25" i="28"/>
  <c r="H25" i="28"/>
  <c r="G26" i="28"/>
  <c r="F26" i="28"/>
  <c r="H26" i="28"/>
  <c r="G27" i="28"/>
  <c r="F27" i="28"/>
  <c r="H27" i="28"/>
  <c r="F28" i="28"/>
  <c r="G28" i="28"/>
  <c r="H28" i="28"/>
  <c r="F29" i="28"/>
  <c r="H29" i="28"/>
  <c r="G29" i="28"/>
  <c r="G30" i="28"/>
  <c r="F30" i="28"/>
  <c r="H30" i="28"/>
  <c r="G31" i="28"/>
  <c r="F31" i="28"/>
  <c r="H31" i="28"/>
  <c r="F32" i="28"/>
  <c r="H32" i="28"/>
  <c r="G32" i="28"/>
  <c r="G33" i="28"/>
  <c r="F33" i="28"/>
  <c r="H33" i="28"/>
  <c r="F34" i="28"/>
  <c r="I39" i="28" s="1"/>
  <c r="G34" i="28"/>
  <c r="H34" i="28"/>
  <c r="G35" i="28"/>
  <c r="F35" i="28"/>
  <c r="I40" i="28" s="1"/>
  <c r="H35" i="28"/>
  <c r="G36" i="28"/>
  <c r="F36" i="28"/>
  <c r="I41" i="28" s="1"/>
  <c r="H36" i="28"/>
  <c r="G37" i="28"/>
  <c r="F37" i="28"/>
  <c r="I42" i="28" s="1"/>
  <c r="H37" i="28"/>
  <c r="G38" i="28"/>
  <c r="F38" i="28"/>
  <c r="I43" i="28" s="1"/>
  <c r="H38" i="28"/>
  <c r="G39" i="28"/>
  <c r="F39" i="28"/>
  <c r="I44" i="28" s="1"/>
  <c r="H39" i="28"/>
  <c r="G40" i="28"/>
  <c r="F40" i="28"/>
  <c r="I45" i="28" s="1"/>
  <c r="H40" i="28"/>
  <c r="G41" i="28"/>
  <c r="H41" i="28"/>
  <c r="F41" i="28"/>
  <c r="I46" i="28" s="1"/>
  <c r="H42" i="28"/>
  <c r="G42" i="28"/>
  <c r="F42" i="28"/>
  <c r="I47" i="28" s="1"/>
  <c r="H43" i="28"/>
  <c r="G43" i="28"/>
  <c r="F43" i="28"/>
  <c r="I48" i="28" s="1"/>
  <c r="G44" i="28"/>
  <c r="F44" i="28"/>
  <c r="I49" i="28" s="1"/>
  <c r="H44" i="28"/>
  <c r="G45" i="28"/>
  <c r="F45" i="28"/>
  <c r="I50" i="28" s="1"/>
  <c r="H45" i="28"/>
  <c r="G46" i="28"/>
  <c r="F46" i="28"/>
  <c r="I51" i="28" s="1"/>
  <c r="H46" i="28"/>
  <c r="G47" i="28"/>
  <c r="F47" i="28"/>
  <c r="I52" i="28" s="1"/>
  <c r="H47" i="28"/>
  <c r="H48" i="28"/>
  <c r="G48" i="28"/>
  <c r="F48" i="28"/>
  <c r="I53" i="28" s="1"/>
  <c r="F49" i="28"/>
  <c r="I54" i="28" s="1"/>
  <c r="H49" i="28"/>
  <c r="G49" i="28"/>
  <c r="G50" i="28"/>
  <c r="F50" i="28"/>
  <c r="I55" i="28" s="1"/>
  <c r="H50" i="28"/>
  <c r="G51" i="28"/>
  <c r="F51" i="28"/>
  <c r="I56" i="28" s="1"/>
  <c r="H51" i="28"/>
  <c r="H52" i="28"/>
  <c r="G52" i="28"/>
  <c r="F52" i="28"/>
  <c r="I57" i="28" s="1"/>
  <c r="G53" i="28"/>
  <c r="F53" i="28"/>
  <c r="I58" i="28" s="1"/>
  <c r="H53" i="28"/>
  <c r="H54" i="28"/>
  <c r="G54" i="28"/>
  <c r="F54" i="28"/>
  <c r="I59" i="28" s="1"/>
  <c r="G55" i="28"/>
  <c r="F55" i="28"/>
  <c r="I60" i="28" s="1"/>
  <c r="H55" i="28"/>
  <c r="H56" i="28"/>
  <c r="G56" i="28"/>
  <c r="F56" i="28"/>
  <c r="I61" i="28" s="1"/>
  <c r="F57" i="28"/>
  <c r="I62" i="28" s="1"/>
  <c r="H57" i="28"/>
  <c r="G57" i="28"/>
  <c r="H58" i="28"/>
  <c r="G58" i="28"/>
  <c r="F58" i="28"/>
  <c r="G59" i="28"/>
  <c r="F59" i="28"/>
  <c r="H59" i="28"/>
  <c r="H60" i="28"/>
  <c r="G60" i="28"/>
  <c r="F60" i="28"/>
  <c r="G61" i="28"/>
  <c r="F61" i="28"/>
  <c r="H61" i="28"/>
  <c r="G62" i="28"/>
  <c r="F62" i="28"/>
  <c r="H62" i="28"/>
  <c r="F63" i="28"/>
  <c r="H63" i="28"/>
  <c r="G63" i="28"/>
  <c r="G64" i="28"/>
  <c r="F64" i="28"/>
  <c r="H64" i="28"/>
  <c r="F65" i="28"/>
  <c r="H65" i="28"/>
  <c r="G65" i="28"/>
  <c r="F66" i="28"/>
  <c r="H66" i="28"/>
  <c r="G66" i="28"/>
  <c r="F67" i="28"/>
  <c r="H67" i="28"/>
  <c r="G67" i="28"/>
  <c r="F68" i="28"/>
  <c r="H68" i="28"/>
  <c r="G68" i="28"/>
  <c r="F16" i="6"/>
  <c r="I16" i="6"/>
  <c r="I17" i="6"/>
  <c r="F17" i="6"/>
  <c r="F9" i="6"/>
  <c r="I9" i="6"/>
  <c r="F14" i="6"/>
  <c r="I14" i="6"/>
  <c r="F18" i="6"/>
  <c r="I18" i="6"/>
  <c r="I8" i="6"/>
  <c r="F8" i="6"/>
  <c r="F10" i="6"/>
  <c r="I10" i="6"/>
  <c r="R32" i="22"/>
  <c r="O33" i="22" s="1"/>
  <c r="J34" i="28"/>
  <c r="G38" i="13"/>
  <c r="H6" i="13"/>
  <c r="H7" i="13"/>
  <c r="H11" i="13"/>
  <c r="H15" i="13"/>
  <c r="H19" i="13"/>
  <c r="H23" i="13"/>
  <c r="H27" i="13"/>
  <c r="H31" i="13"/>
  <c r="H35" i="13"/>
  <c r="H67" i="13"/>
  <c r="H71" i="13"/>
  <c r="H75" i="13"/>
  <c r="H79" i="13"/>
  <c r="H83" i="13"/>
  <c r="H87" i="13"/>
  <c r="H91" i="13"/>
  <c r="H95" i="13"/>
  <c r="H99" i="13"/>
  <c r="H103" i="13"/>
  <c r="H107" i="13"/>
  <c r="H111" i="13"/>
  <c r="H115" i="13"/>
  <c r="H119" i="13"/>
  <c r="H123" i="13"/>
  <c r="H127" i="13"/>
  <c r="H112" i="13"/>
  <c r="H120" i="13"/>
  <c r="H128" i="13"/>
  <c r="H26" i="13"/>
  <c r="H38" i="13"/>
  <c r="H70" i="13"/>
  <c r="H82" i="13"/>
  <c r="H94" i="13"/>
  <c r="H106" i="13"/>
  <c r="H118" i="13"/>
  <c r="H126" i="13"/>
  <c r="H8" i="13"/>
  <c r="H12" i="13"/>
  <c r="H16" i="13"/>
  <c r="H20" i="13"/>
  <c r="H24" i="13"/>
  <c r="H28" i="13"/>
  <c r="H32" i="13"/>
  <c r="H36" i="13"/>
  <c r="H68" i="13"/>
  <c r="H72" i="13"/>
  <c r="H76" i="13"/>
  <c r="H80" i="13"/>
  <c r="H84" i="13"/>
  <c r="H88" i="13"/>
  <c r="H92" i="13"/>
  <c r="H96" i="13"/>
  <c r="H100" i="13"/>
  <c r="H104" i="13"/>
  <c r="H108" i="13"/>
  <c r="H116" i="13"/>
  <c r="H124" i="13"/>
  <c r="H22" i="13"/>
  <c r="H34" i="13"/>
  <c r="H74" i="13"/>
  <c r="H86" i="13"/>
  <c r="H98" i="13"/>
  <c r="H110" i="13"/>
  <c r="H122" i="13"/>
  <c r="H130" i="13"/>
  <c r="H9" i="13"/>
  <c r="H13" i="13"/>
  <c r="H17" i="13"/>
  <c r="H21" i="13"/>
  <c r="H25" i="13"/>
  <c r="H29" i="13"/>
  <c r="H33" i="13"/>
  <c r="H37" i="13"/>
  <c r="H69" i="13"/>
  <c r="H73" i="13"/>
  <c r="H77" i="13"/>
  <c r="H81" i="13"/>
  <c r="H85" i="13"/>
  <c r="H89" i="13"/>
  <c r="H93" i="13"/>
  <c r="H97" i="13"/>
  <c r="H101" i="13"/>
  <c r="H105" i="13"/>
  <c r="H109" i="13"/>
  <c r="H113" i="13"/>
  <c r="H117" i="13"/>
  <c r="H121" i="13"/>
  <c r="H125" i="13"/>
  <c r="H129" i="13"/>
  <c r="H10" i="13"/>
  <c r="H14" i="13"/>
  <c r="H18" i="13"/>
  <c r="H30" i="13"/>
  <c r="H78" i="13"/>
  <c r="H90" i="13"/>
  <c r="H102" i="13"/>
  <c r="H114" i="13"/>
  <c r="G129" i="13"/>
  <c r="G128" i="13"/>
  <c r="G112" i="13"/>
  <c r="G96" i="13"/>
  <c r="G82" i="13"/>
  <c r="G70" i="13"/>
  <c r="G111" i="13"/>
  <c r="G118" i="13"/>
  <c r="G102" i="13"/>
  <c r="G86" i="13"/>
  <c r="G121" i="13"/>
  <c r="G105" i="13"/>
  <c r="G97" i="13"/>
  <c r="G89" i="13"/>
  <c r="G81" i="13"/>
  <c r="G73" i="13"/>
  <c r="D6" i="13"/>
  <c r="G116" i="13"/>
  <c r="G74" i="13"/>
  <c r="G106" i="13"/>
  <c r="G107" i="13"/>
  <c r="G83" i="13"/>
  <c r="G123" i="13"/>
  <c r="G124" i="13"/>
  <c r="G108" i="13"/>
  <c r="G92" i="13"/>
  <c r="G78" i="13"/>
  <c r="G68" i="13"/>
  <c r="G130" i="13"/>
  <c r="G114" i="13"/>
  <c r="G98" i="13"/>
  <c r="G80" i="13"/>
  <c r="G115" i="13"/>
  <c r="G103" i="13"/>
  <c r="G95" i="13"/>
  <c r="G87" i="13"/>
  <c r="G79" i="13"/>
  <c r="G71" i="13"/>
  <c r="G6" i="13"/>
  <c r="G100" i="13"/>
  <c r="G119" i="13"/>
  <c r="G90" i="13"/>
  <c r="G99" i="13"/>
  <c r="G75" i="13"/>
  <c r="G117" i="13"/>
  <c r="G120" i="13"/>
  <c r="G104" i="13"/>
  <c r="G88" i="13"/>
  <c r="G76" i="13"/>
  <c r="G125" i="13"/>
  <c r="G126" i="13"/>
  <c r="G110" i="13"/>
  <c r="G94" i="13"/>
  <c r="G72" i="13"/>
  <c r="G109" i="13"/>
  <c r="G101" i="13"/>
  <c r="G93" i="13"/>
  <c r="G85" i="13"/>
  <c r="G77" i="13"/>
  <c r="G69" i="13"/>
  <c r="G113" i="13"/>
  <c r="G84" i="13"/>
  <c r="G122" i="13"/>
  <c r="G127" i="13"/>
  <c r="G91" i="13"/>
  <c r="G67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L33" i="22"/>
  <c r="M33" i="22" s="1"/>
  <c r="M33" i="23"/>
  <c r="Q33" i="22"/>
  <c r="F36" i="11"/>
  <c r="H36" i="11" s="1"/>
  <c r="C37" i="11"/>
  <c r="C37" i="14"/>
  <c r="F36" i="14"/>
  <c r="E39" i="14"/>
  <c r="D39" i="14" s="1"/>
  <c r="C39" i="13" s="1"/>
  <c r="B40" i="14"/>
  <c r="B39" i="13"/>
  <c r="H39" i="13" s="1"/>
  <c r="F6" i="13"/>
  <c r="F8" i="13"/>
  <c r="F10" i="13"/>
  <c r="F12" i="13"/>
  <c r="F14" i="13"/>
  <c r="F16" i="13"/>
  <c r="F18" i="13"/>
  <c r="F20" i="13"/>
  <c r="F22" i="13"/>
  <c r="F24" i="13"/>
  <c r="F26" i="13"/>
  <c r="F28" i="13"/>
  <c r="F30" i="13"/>
  <c r="F32" i="13"/>
  <c r="F34" i="13"/>
  <c r="F36" i="13"/>
  <c r="F70" i="13"/>
  <c r="F74" i="13"/>
  <c r="F78" i="13"/>
  <c r="F82" i="13"/>
  <c r="F86" i="13"/>
  <c r="F90" i="13"/>
  <c r="F94" i="13"/>
  <c r="F98" i="13"/>
  <c r="F7" i="13"/>
  <c r="D8" i="13"/>
  <c r="F9" i="13"/>
  <c r="D10" i="13"/>
  <c r="F11" i="13"/>
  <c r="D12" i="13"/>
  <c r="F13" i="13"/>
  <c r="D14" i="13"/>
  <c r="F15" i="13"/>
  <c r="D16" i="13"/>
  <c r="F17" i="13"/>
  <c r="D18" i="13"/>
  <c r="F19" i="13"/>
  <c r="D20" i="13"/>
  <c r="F21" i="13"/>
  <c r="E8" i="13"/>
  <c r="E12" i="13"/>
  <c r="E16" i="13"/>
  <c r="E20" i="13"/>
  <c r="F77" i="13"/>
  <c r="E78" i="13"/>
  <c r="D82" i="13"/>
  <c r="F93" i="13"/>
  <c r="E94" i="13"/>
  <c r="D98" i="13"/>
  <c r="F101" i="13"/>
  <c r="F105" i="13"/>
  <c r="F109" i="13"/>
  <c r="F113" i="13"/>
  <c r="F117" i="13"/>
  <c r="F121" i="13"/>
  <c r="F125" i="13"/>
  <c r="F129" i="13"/>
  <c r="F38" i="13"/>
  <c r="D70" i="13"/>
  <c r="F81" i="13"/>
  <c r="E82" i="13"/>
  <c r="D86" i="13"/>
  <c r="F97" i="13"/>
  <c r="E98" i="13"/>
  <c r="F102" i="13"/>
  <c r="F106" i="13"/>
  <c r="E6" i="13"/>
  <c r="E10" i="13"/>
  <c r="E14" i="13"/>
  <c r="E18" i="13"/>
  <c r="D22" i="13"/>
  <c r="F23" i="13"/>
  <c r="D24" i="13"/>
  <c r="F25" i="13"/>
  <c r="D26" i="13"/>
  <c r="F27" i="13"/>
  <c r="D28" i="13"/>
  <c r="F29" i="13"/>
  <c r="D30" i="13"/>
  <c r="F31" i="13"/>
  <c r="D32" i="13"/>
  <c r="F33" i="13"/>
  <c r="D34" i="13"/>
  <c r="F35" i="13"/>
  <c r="D36" i="13"/>
  <c r="D37" i="13"/>
  <c r="E24" i="13"/>
  <c r="E28" i="13"/>
  <c r="E32" i="13"/>
  <c r="E36" i="13"/>
  <c r="E70" i="13"/>
  <c r="D79" i="13"/>
  <c r="F89" i="13"/>
  <c r="E90" i="13"/>
  <c r="F91" i="13"/>
  <c r="F92" i="13"/>
  <c r="E93" i="13"/>
  <c r="D97" i="13"/>
  <c r="E100" i="13"/>
  <c r="D101" i="13"/>
  <c r="D102" i="13"/>
  <c r="E108" i="13"/>
  <c r="D109" i="13"/>
  <c r="D110" i="13"/>
  <c r="E111" i="13"/>
  <c r="D112" i="13"/>
  <c r="F120" i="13"/>
  <c r="E121" i="13"/>
  <c r="F122" i="13"/>
  <c r="F123" i="13"/>
  <c r="E124" i="13"/>
  <c r="D125" i="13"/>
  <c r="D126" i="13"/>
  <c r="E127" i="13"/>
  <c r="D128" i="13"/>
  <c r="E92" i="13"/>
  <c r="F103" i="13"/>
  <c r="E117" i="13"/>
  <c r="F118" i="13"/>
  <c r="D121" i="13"/>
  <c r="D124" i="13"/>
  <c r="D74" i="13"/>
  <c r="D75" i="13"/>
  <c r="E76" i="13"/>
  <c r="D77" i="13"/>
  <c r="D78" i="13"/>
  <c r="E96" i="13"/>
  <c r="E101" i="13"/>
  <c r="E109" i="13"/>
  <c r="D113" i="13"/>
  <c r="F124" i="13"/>
  <c r="E125" i="13"/>
  <c r="D129" i="13"/>
  <c r="E113" i="13"/>
  <c r="D117" i="13"/>
  <c r="F37" i="13"/>
  <c r="F85" i="13"/>
  <c r="D91" i="13"/>
  <c r="D94" i="13"/>
  <c r="E105" i="13"/>
  <c r="F116" i="13"/>
  <c r="E120" i="13"/>
  <c r="D122" i="13"/>
  <c r="E22" i="13"/>
  <c r="E26" i="13"/>
  <c r="E30" i="13"/>
  <c r="E34" i="13"/>
  <c r="D38" i="13"/>
  <c r="E74" i="13"/>
  <c r="F75" i="13"/>
  <c r="F76" i="13"/>
  <c r="E77" i="13"/>
  <c r="D81" i="13"/>
  <c r="E86" i="13"/>
  <c r="D95" i="13"/>
  <c r="D105" i="13"/>
  <c r="D106" i="13"/>
  <c r="F112" i="13"/>
  <c r="F128" i="13"/>
  <c r="E129" i="13"/>
  <c r="F71" i="13"/>
  <c r="E80" i="13"/>
  <c r="E89" i="13"/>
  <c r="D90" i="13"/>
  <c r="D93" i="13"/>
  <c r="F104" i="13"/>
  <c r="F119" i="13"/>
  <c r="E123" i="13"/>
  <c r="D120" i="13"/>
  <c r="E119" i="13"/>
  <c r="D114" i="13"/>
  <c r="D87" i="13"/>
  <c r="D111" i="13"/>
  <c r="D100" i="13"/>
  <c r="D7" i="13"/>
  <c r="F84" i="13"/>
  <c r="E116" i="13"/>
  <c r="F127" i="13"/>
  <c r="E115" i="13"/>
  <c r="D103" i="13"/>
  <c r="F87" i="13"/>
  <c r="D83" i="13"/>
  <c r="D71" i="13"/>
  <c r="F68" i="13"/>
  <c r="D107" i="13"/>
  <c r="D119" i="13"/>
  <c r="I119" i="13" s="1"/>
  <c r="F88" i="13"/>
  <c r="E38" i="13"/>
  <c r="D96" i="13"/>
  <c r="D13" i="13"/>
  <c r="D92" i="13"/>
  <c r="D76" i="13"/>
  <c r="D35" i="13"/>
  <c r="D31" i="13"/>
  <c r="D27" i="13"/>
  <c r="D23" i="13"/>
  <c r="E17" i="13"/>
  <c r="E9" i="13"/>
  <c r="F72" i="13"/>
  <c r="E102" i="13"/>
  <c r="E84" i="13"/>
  <c r="D130" i="13"/>
  <c r="D89" i="13"/>
  <c r="E72" i="13"/>
  <c r="D17" i="13"/>
  <c r="F79" i="13"/>
  <c r="E33" i="13"/>
  <c r="E19" i="13"/>
  <c r="F107" i="13"/>
  <c r="F99" i="13"/>
  <c r="E112" i="13"/>
  <c r="E67" i="13"/>
  <c r="E110" i="13"/>
  <c r="E97" i="13"/>
  <c r="E130" i="13"/>
  <c r="D73" i="13"/>
  <c r="F115" i="13"/>
  <c r="F126" i="13"/>
  <c r="F111" i="13"/>
  <c r="E103" i="13"/>
  <c r="D85" i="13"/>
  <c r="F83" i="13"/>
  <c r="F69" i="13"/>
  <c r="E107" i="13"/>
  <c r="E118" i="13"/>
  <c r="E81" i="13"/>
  <c r="D15" i="13"/>
  <c r="E95" i="13"/>
  <c r="D9" i="13"/>
  <c r="E91" i="13"/>
  <c r="E75" i="13"/>
  <c r="E35" i="13"/>
  <c r="E31" i="13"/>
  <c r="E27" i="13"/>
  <c r="E23" i="13"/>
  <c r="E15" i="13"/>
  <c r="E7" i="13"/>
  <c r="D33" i="13"/>
  <c r="D25" i="13"/>
  <c r="E13" i="13"/>
  <c r="D118" i="13"/>
  <c r="E87" i="13"/>
  <c r="F67" i="13"/>
  <c r="D127" i="13"/>
  <c r="E83" i="13"/>
  <c r="E71" i="13"/>
  <c r="D104" i="13"/>
  <c r="E37" i="13"/>
  <c r="E25" i="13"/>
  <c r="F73" i="13"/>
  <c r="E128" i="13"/>
  <c r="E104" i="13"/>
  <c r="D115" i="13"/>
  <c r="D67" i="13"/>
  <c r="D11" i="13"/>
  <c r="D108" i="13"/>
  <c r="D88" i="13"/>
  <c r="D84" i="13"/>
  <c r="D69" i="13"/>
  <c r="F130" i="13"/>
  <c r="F114" i="13"/>
  <c r="D123" i="13"/>
  <c r="F110" i="13"/>
  <c r="F100" i="13"/>
  <c r="E85" i="13"/>
  <c r="E73" i="13"/>
  <c r="D68" i="13"/>
  <c r="D19" i="13"/>
  <c r="D99" i="13"/>
  <c r="E106" i="13"/>
  <c r="D72" i="13"/>
  <c r="D80" i="13"/>
  <c r="D21" i="13"/>
  <c r="F96" i="13"/>
  <c r="F80" i="13"/>
  <c r="D29" i="13"/>
  <c r="E21" i="13"/>
  <c r="D116" i="13"/>
  <c r="E126" i="13"/>
  <c r="E88" i="13"/>
  <c r="E69" i="13"/>
  <c r="E122" i="13"/>
  <c r="F108" i="13"/>
  <c r="E68" i="13"/>
  <c r="E114" i="13"/>
  <c r="E99" i="13"/>
  <c r="E79" i="13"/>
  <c r="F95" i="13"/>
  <c r="E29" i="13"/>
  <c r="E11" i="13"/>
  <c r="P37" i="9"/>
  <c r="O38" i="9"/>
  <c r="I33" i="13" l="1"/>
  <c r="C38" i="21"/>
  <c r="C37" i="32"/>
  <c r="I19" i="13"/>
  <c r="I116" i="13"/>
  <c r="I78" i="13"/>
  <c r="I68" i="28"/>
  <c r="K68" i="28" s="1"/>
  <c r="I29" i="28"/>
  <c r="K29" i="28" s="1"/>
  <c r="I28" i="28"/>
  <c r="K28" i="28" s="1"/>
  <c r="I24" i="28"/>
  <c r="K24" i="28" s="1"/>
  <c r="I14" i="28"/>
  <c r="K14" i="28" s="1"/>
  <c r="K9" i="28"/>
  <c r="I66" i="28"/>
  <c r="K66" i="28" s="1"/>
  <c r="K61" i="28"/>
  <c r="I63" i="28"/>
  <c r="K63" i="28" s="1"/>
  <c r="K58" i="28"/>
  <c r="I38" i="28"/>
  <c r="I37" i="28"/>
  <c r="I33" i="28"/>
  <c r="K33" i="28" s="1"/>
  <c r="I30" i="28"/>
  <c r="K30" i="28" s="1"/>
  <c r="I25" i="28"/>
  <c r="K25" i="28" s="1"/>
  <c r="I21" i="28"/>
  <c r="K21" i="28" s="1"/>
  <c r="I18" i="28"/>
  <c r="K18" i="28" s="1"/>
  <c r="K13" i="28"/>
  <c r="I16" i="28"/>
  <c r="K16" i="28" s="1"/>
  <c r="K11" i="28"/>
  <c r="I89" i="13"/>
  <c r="I67" i="28"/>
  <c r="K67" i="28" s="1"/>
  <c r="K62" i="28"/>
  <c r="I35" i="28"/>
  <c r="I34" i="28"/>
  <c r="K34" i="28" s="1"/>
  <c r="I31" i="28"/>
  <c r="K31" i="28" s="1"/>
  <c r="I26" i="28"/>
  <c r="K26" i="28" s="1"/>
  <c r="I22" i="28"/>
  <c r="K22" i="28" s="1"/>
  <c r="I20" i="28"/>
  <c r="K20" i="28" s="1"/>
  <c r="I19" i="28"/>
  <c r="K19" i="28" s="1"/>
  <c r="I17" i="28"/>
  <c r="K17" i="28" s="1"/>
  <c r="K12" i="28"/>
  <c r="K8" i="28"/>
  <c r="I15" i="28"/>
  <c r="K15" i="28" s="1"/>
  <c r="K10" i="28"/>
  <c r="I65" i="28"/>
  <c r="K65" i="28" s="1"/>
  <c r="K60" i="28"/>
  <c r="I64" i="28"/>
  <c r="K64" i="28" s="1"/>
  <c r="K59" i="28"/>
  <c r="I36" i="28"/>
  <c r="I32" i="28"/>
  <c r="K32" i="28" s="1"/>
  <c r="I27" i="28"/>
  <c r="K27" i="28" s="1"/>
  <c r="I23" i="28"/>
  <c r="K23" i="28" s="1"/>
  <c r="I72" i="13"/>
  <c r="I68" i="13"/>
  <c r="I69" i="13"/>
  <c r="I104" i="13"/>
  <c r="I25" i="13"/>
  <c r="I15" i="13"/>
  <c r="I92" i="13"/>
  <c r="I7" i="13"/>
  <c r="I114" i="13"/>
  <c r="I95" i="13"/>
  <c r="I94" i="13"/>
  <c r="I109" i="13"/>
  <c r="I26" i="13"/>
  <c r="I22" i="13"/>
  <c r="I123" i="13"/>
  <c r="I84" i="13"/>
  <c r="I67" i="13"/>
  <c r="I130" i="13"/>
  <c r="I31" i="13"/>
  <c r="I13" i="13"/>
  <c r="I14" i="33" s="1"/>
  <c r="I100" i="13"/>
  <c r="I37" i="13"/>
  <c r="I82" i="13"/>
  <c r="I20" i="13"/>
  <c r="I12" i="13"/>
  <c r="I8" i="13"/>
  <c r="I35" i="13"/>
  <c r="I129" i="13"/>
  <c r="I83" i="13"/>
  <c r="I112" i="13"/>
  <c r="I97" i="13"/>
  <c r="I86" i="13"/>
  <c r="I21" i="13"/>
  <c r="I99" i="13"/>
  <c r="I88" i="13"/>
  <c r="I115" i="13"/>
  <c r="I118" i="13"/>
  <c r="I9" i="13"/>
  <c r="I10" i="33" s="1"/>
  <c r="I85" i="13"/>
  <c r="I17" i="13"/>
  <c r="I29" i="13"/>
  <c r="I80" i="13"/>
  <c r="I108" i="13"/>
  <c r="I127" i="13"/>
  <c r="I73" i="13"/>
  <c r="I23" i="13"/>
  <c r="I76" i="13"/>
  <c r="I103" i="13"/>
  <c r="I87" i="13"/>
  <c r="I90" i="13"/>
  <c r="I105" i="13"/>
  <c r="I38" i="13"/>
  <c r="I121" i="13"/>
  <c r="I125" i="13"/>
  <c r="I110" i="13"/>
  <c r="I101" i="13"/>
  <c r="I79" i="13"/>
  <c r="I18" i="13"/>
  <c r="I14" i="13"/>
  <c r="I10" i="13"/>
  <c r="I11" i="13"/>
  <c r="I27" i="13"/>
  <c r="I71" i="13"/>
  <c r="I122" i="13"/>
  <c r="I117" i="13"/>
  <c r="I75" i="13"/>
  <c r="I128" i="13"/>
  <c r="I34" i="13"/>
  <c r="I30" i="13"/>
  <c r="I70" i="13"/>
  <c r="I6" i="13"/>
  <c r="I91" i="13"/>
  <c r="I113" i="13"/>
  <c r="I74" i="13"/>
  <c r="I16" i="13"/>
  <c r="I96" i="13"/>
  <c r="I107" i="13"/>
  <c r="I111" i="13"/>
  <c r="I120" i="13"/>
  <c r="I93" i="13"/>
  <c r="I106" i="13"/>
  <c r="I81" i="13"/>
  <c r="I77" i="13"/>
  <c r="I124" i="13"/>
  <c r="I126" i="13"/>
  <c r="I102" i="13"/>
  <c r="I36" i="13"/>
  <c r="I32" i="13"/>
  <c r="I28" i="13"/>
  <c r="I24" i="13"/>
  <c r="I98" i="13"/>
  <c r="D39" i="13"/>
  <c r="G39" i="13"/>
  <c r="J34" i="22"/>
  <c r="P33" i="22"/>
  <c r="M34" i="33" s="1"/>
  <c r="F37" i="11"/>
  <c r="H37" i="11" s="1"/>
  <c r="C38" i="11"/>
  <c r="C38" i="14"/>
  <c r="F37" i="14"/>
  <c r="F39" i="13"/>
  <c r="E39" i="13"/>
  <c r="E40" i="14"/>
  <c r="D40" i="14" s="1"/>
  <c r="C40" i="13" s="1"/>
  <c r="B41" i="14"/>
  <c r="B40" i="13"/>
  <c r="I12" i="23"/>
  <c r="I10" i="23"/>
  <c r="O39" i="9"/>
  <c r="P38" i="9"/>
  <c r="I12" i="33" l="1"/>
  <c r="I8" i="23"/>
  <c r="I8" i="33"/>
  <c r="I9" i="23"/>
  <c r="I9" i="33"/>
  <c r="C39" i="21"/>
  <c r="C38" i="32"/>
  <c r="G40" i="13"/>
  <c r="H40" i="13"/>
  <c r="J35" i="28"/>
  <c r="K35" i="28" s="1"/>
  <c r="I14" i="23"/>
  <c r="I39" i="13"/>
  <c r="I11" i="23"/>
  <c r="M34" i="23"/>
  <c r="Q34" i="22"/>
  <c r="R33" i="22"/>
  <c r="O34" i="22" s="1"/>
  <c r="L34" i="22"/>
  <c r="M34" i="22" s="1"/>
  <c r="F38" i="11"/>
  <c r="H38" i="11" s="1"/>
  <c r="C39" i="11"/>
  <c r="F38" i="14"/>
  <c r="C39" i="14"/>
  <c r="B42" i="14"/>
  <c r="E41" i="14"/>
  <c r="D41" i="14" s="1"/>
  <c r="C41" i="13" s="1"/>
  <c r="B41" i="13"/>
  <c r="F40" i="13"/>
  <c r="E40" i="13"/>
  <c r="D40" i="13"/>
  <c r="P39" i="9"/>
  <c r="O40" i="9"/>
  <c r="C40" i="21" l="1"/>
  <c r="C39" i="32"/>
  <c r="G41" i="13"/>
  <c r="H41" i="13"/>
  <c r="I40" i="13"/>
  <c r="J35" i="22"/>
  <c r="P34" i="22"/>
  <c r="M35" i="33" s="1"/>
  <c r="F39" i="11"/>
  <c r="H39" i="11" s="1"/>
  <c r="C40" i="11"/>
  <c r="F39" i="14"/>
  <c r="C40" i="14"/>
  <c r="B43" i="14"/>
  <c r="E42" i="14"/>
  <c r="D42" i="14" s="1"/>
  <c r="C42" i="13" s="1"/>
  <c r="B42" i="13"/>
  <c r="F41" i="13"/>
  <c r="D41" i="13"/>
  <c r="E41" i="13"/>
  <c r="P40" i="9"/>
  <c r="O41" i="9"/>
  <c r="C41" i="21" l="1"/>
  <c r="C40" i="32"/>
  <c r="G42" i="13"/>
  <c r="H42" i="13"/>
  <c r="R34" i="22"/>
  <c r="O35" i="22" s="1"/>
  <c r="J36" i="28"/>
  <c r="K36" i="28" s="1"/>
  <c r="I41" i="13"/>
  <c r="M35" i="23"/>
  <c r="Q35" i="22"/>
  <c r="L35" i="22"/>
  <c r="M35" i="22" s="1"/>
  <c r="F40" i="11"/>
  <c r="H40" i="11" s="1"/>
  <c r="C41" i="11"/>
  <c r="F40" i="14"/>
  <c r="C41" i="14"/>
  <c r="E43" i="14"/>
  <c r="D43" i="14" s="1"/>
  <c r="C43" i="13" s="1"/>
  <c r="B44" i="14"/>
  <c r="B43" i="13"/>
  <c r="E42" i="13"/>
  <c r="F42" i="13"/>
  <c r="D42" i="13"/>
  <c r="O42" i="9"/>
  <c r="P41" i="9"/>
  <c r="C42" i="21" l="1"/>
  <c r="C41" i="32"/>
  <c r="G43" i="13"/>
  <c r="H43" i="13"/>
  <c r="I42" i="13"/>
  <c r="P35" i="22"/>
  <c r="J36" i="22"/>
  <c r="F41" i="11"/>
  <c r="H41" i="11" s="1"/>
  <c r="C42" i="11"/>
  <c r="F41" i="14"/>
  <c r="C42" i="14"/>
  <c r="B45" i="14"/>
  <c r="E44" i="14"/>
  <c r="D44" i="14" s="1"/>
  <c r="C44" i="13" s="1"/>
  <c r="B44" i="13"/>
  <c r="F43" i="13"/>
  <c r="E43" i="13"/>
  <c r="D43" i="13"/>
  <c r="O43" i="9"/>
  <c r="P42" i="9"/>
  <c r="J37" i="28" l="1"/>
  <c r="K37" i="28" s="1"/>
  <c r="M36" i="33"/>
  <c r="C43" i="21"/>
  <c r="C42" i="32"/>
  <c r="G44" i="13"/>
  <c r="H44" i="13"/>
  <c r="I43" i="13"/>
  <c r="L36" i="22"/>
  <c r="M36" i="22" s="1"/>
  <c r="M36" i="23"/>
  <c r="Q36" i="22"/>
  <c r="R35" i="22"/>
  <c r="O36" i="22" s="1"/>
  <c r="F42" i="11"/>
  <c r="H42" i="11" s="1"/>
  <c r="C43" i="11"/>
  <c r="F42" i="14"/>
  <c r="C43" i="14"/>
  <c r="F44" i="13"/>
  <c r="E44" i="13"/>
  <c r="D44" i="13"/>
  <c r="B46" i="14"/>
  <c r="E45" i="14"/>
  <c r="D45" i="14" s="1"/>
  <c r="C45" i="13" s="1"/>
  <c r="B45" i="13"/>
  <c r="P43" i="9"/>
  <c r="O44" i="9"/>
  <c r="C44" i="21" l="1"/>
  <c r="C43" i="32"/>
  <c r="G45" i="13"/>
  <c r="H45" i="13"/>
  <c r="I44" i="13"/>
  <c r="J37" i="22"/>
  <c r="P36" i="22"/>
  <c r="F43" i="11"/>
  <c r="H43" i="11" s="1"/>
  <c r="C44" i="11"/>
  <c r="C44" i="14"/>
  <c r="F43" i="14"/>
  <c r="E46" i="14"/>
  <c r="D46" i="14" s="1"/>
  <c r="C46" i="13" s="1"/>
  <c r="B47" i="14"/>
  <c r="B46" i="13"/>
  <c r="E45" i="13"/>
  <c r="D45" i="13"/>
  <c r="F45" i="13"/>
  <c r="P44" i="9"/>
  <c r="O45" i="9"/>
  <c r="J38" i="28" l="1"/>
  <c r="K38" i="28" s="1"/>
  <c r="M37" i="33"/>
  <c r="C45" i="21"/>
  <c r="C44" i="32"/>
  <c r="G46" i="13"/>
  <c r="H46" i="13"/>
  <c r="I45" i="13"/>
  <c r="R36" i="22"/>
  <c r="O37" i="22" s="1"/>
  <c r="Q37" i="22"/>
  <c r="M37" i="23"/>
  <c r="L37" i="22"/>
  <c r="M37" i="22" s="1"/>
  <c r="F44" i="11"/>
  <c r="H44" i="11" s="1"/>
  <c r="C45" i="11"/>
  <c r="F44" i="14"/>
  <c r="C45" i="14"/>
  <c r="F46" i="13"/>
  <c r="D46" i="13"/>
  <c r="E46" i="13"/>
  <c r="E47" i="14"/>
  <c r="D47" i="14" s="1"/>
  <c r="C47" i="13" s="1"/>
  <c r="B48" i="14"/>
  <c r="B47" i="13"/>
  <c r="O46" i="9"/>
  <c r="P45" i="9"/>
  <c r="C46" i="21" l="1"/>
  <c r="C45" i="32"/>
  <c r="G47" i="13"/>
  <c r="H47" i="13"/>
  <c r="I46" i="13"/>
  <c r="J38" i="22"/>
  <c r="P37" i="22"/>
  <c r="F45" i="11"/>
  <c r="H45" i="11" s="1"/>
  <c r="C46" i="11"/>
  <c r="C46" i="14"/>
  <c r="F45" i="14"/>
  <c r="F47" i="13"/>
  <c r="E47" i="13"/>
  <c r="D47" i="13"/>
  <c r="B49" i="14"/>
  <c r="E48" i="14"/>
  <c r="D48" i="14" s="1"/>
  <c r="C48" i="13" s="1"/>
  <c r="B48" i="13"/>
  <c r="O47" i="9"/>
  <c r="P46" i="9"/>
  <c r="J39" i="28" l="1"/>
  <c r="K39" i="28" s="1"/>
  <c r="M38" i="33"/>
  <c r="C47" i="21"/>
  <c r="C46" i="32"/>
  <c r="G48" i="13"/>
  <c r="H48" i="13"/>
  <c r="I47" i="13"/>
  <c r="Q38" i="22"/>
  <c r="M38" i="23"/>
  <c r="R37" i="22"/>
  <c r="O38" i="22" s="1"/>
  <c r="L38" i="22"/>
  <c r="M38" i="22" s="1"/>
  <c r="F46" i="11"/>
  <c r="H46" i="11" s="1"/>
  <c r="C47" i="11"/>
  <c r="F46" i="14"/>
  <c r="C47" i="14"/>
  <c r="D48" i="13"/>
  <c r="F48" i="13"/>
  <c r="E48" i="13"/>
  <c r="B50" i="14"/>
  <c r="E49" i="14"/>
  <c r="D49" i="14" s="1"/>
  <c r="C49" i="13" s="1"/>
  <c r="B49" i="13"/>
  <c r="P47" i="9"/>
  <c r="O48" i="9"/>
  <c r="C48" i="21" l="1"/>
  <c r="C47" i="32"/>
  <c r="G49" i="13"/>
  <c r="H49" i="13"/>
  <c r="I48" i="13"/>
  <c r="J39" i="22"/>
  <c r="L39" i="22" s="1"/>
  <c r="M39" i="22" s="1"/>
  <c r="P38" i="22"/>
  <c r="M39" i="33" s="1"/>
  <c r="F47" i="11"/>
  <c r="H47" i="11" s="1"/>
  <c r="C48" i="11"/>
  <c r="C48" i="14"/>
  <c r="F47" i="14"/>
  <c r="D49" i="13"/>
  <c r="F49" i="13"/>
  <c r="E49" i="13"/>
  <c r="B51" i="14"/>
  <c r="E50" i="14"/>
  <c r="D50" i="14" s="1"/>
  <c r="C50" i="13" s="1"/>
  <c r="B50" i="13"/>
  <c r="P48" i="9"/>
  <c r="O49" i="9"/>
  <c r="C49" i="21" l="1"/>
  <c r="C48" i="32"/>
  <c r="G50" i="13"/>
  <c r="H50" i="13"/>
  <c r="I49" i="13"/>
  <c r="R38" i="22"/>
  <c r="O39" i="22" s="1"/>
  <c r="J40" i="28"/>
  <c r="K40" i="28" s="1"/>
  <c r="Q39" i="22"/>
  <c r="M39" i="23"/>
  <c r="J40" i="22"/>
  <c r="L40" i="22" s="1"/>
  <c r="M40" i="22" s="1"/>
  <c r="P39" i="22"/>
  <c r="F48" i="11"/>
  <c r="H48" i="11" s="1"/>
  <c r="C49" i="11"/>
  <c r="F48" i="14"/>
  <c r="C49" i="14"/>
  <c r="E51" i="14"/>
  <c r="D51" i="14" s="1"/>
  <c r="C51" i="13" s="1"/>
  <c r="B52" i="14"/>
  <c r="B51" i="13"/>
  <c r="E50" i="13"/>
  <c r="F50" i="13"/>
  <c r="D50" i="13"/>
  <c r="O50" i="9"/>
  <c r="P49" i="9"/>
  <c r="J41" i="28" l="1"/>
  <c r="K41" i="28" s="1"/>
  <c r="M40" i="33"/>
  <c r="C50" i="21"/>
  <c r="C49" i="32"/>
  <c r="G51" i="13"/>
  <c r="H51" i="13"/>
  <c r="I50" i="13"/>
  <c r="J41" i="22"/>
  <c r="L41" i="22" s="1"/>
  <c r="M41" i="22" s="1"/>
  <c r="P40" i="22"/>
  <c r="Q40" i="22"/>
  <c r="M40" i="23"/>
  <c r="R39" i="22"/>
  <c r="O40" i="22" s="1"/>
  <c r="F49" i="11"/>
  <c r="H49" i="11" s="1"/>
  <c r="C50" i="11"/>
  <c r="C50" i="14"/>
  <c r="F49" i="14"/>
  <c r="E51" i="13"/>
  <c r="D51" i="13"/>
  <c r="F51" i="13"/>
  <c r="B53" i="14"/>
  <c r="B52" i="13"/>
  <c r="E52" i="14"/>
  <c r="D52" i="14" s="1"/>
  <c r="C52" i="13" s="1"/>
  <c r="P50" i="9"/>
  <c r="O51" i="9"/>
  <c r="J42" i="28" l="1"/>
  <c r="K42" i="28" s="1"/>
  <c r="M41" i="33"/>
  <c r="C51" i="21"/>
  <c r="C50" i="32"/>
  <c r="G52" i="13"/>
  <c r="H52" i="13"/>
  <c r="I51" i="13"/>
  <c r="Q41" i="22"/>
  <c r="M41" i="23"/>
  <c r="R40" i="22"/>
  <c r="O41" i="22" s="1"/>
  <c r="J42" i="22"/>
  <c r="L42" i="22" s="1"/>
  <c r="M42" i="22" s="1"/>
  <c r="P41" i="22"/>
  <c r="M42" i="33" s="1"/>
  <c r="F50" i="11"/>
  <c r="H50" i="11" s="1"/>
  <c r="C51" i="11"/>
  <c r="F50" i="14"/>
  <c r="C51" i="14"/>
  <c r="B54" i="14"/>
  <c r="E53" i="14"/>
  <c r="D53" i="14" s="1"/>
  <c r="C53" i="13" s="1"/>
  <c r="B53" i="13"/>
  <c r="F52" i="13"/>
  <c r="E52" i="13"/>
  <c r="D52" i="13"/>
  <c r="O52" i="9"/>
  <c r="P51" i="9"/>
  <c r="C52" i="21" l="1"/>
  <c r="C51" i="32"/>
  <c r="G53" i="13"/>
  <c r="H53" i="13"/>
  <c r="J43" i="28"/>
  <c r="K43" i="28" s="1"/>
  <c r="I52" i="13"/>
  <c r="R41" i="22"/>
  <c r="O42" i="22" s="1"/>
  <c r="J43" i="22"/>
  <c r="L43" i="22" s="1"/>
  <c r="M43" i="22" s="1"/>
  <c r="P42" i="22"/>
  <c r="Q42" i="22"/>
  <c r="M42" i="23"/>
  <c r="F51" i="11"/>
  <c r="H51" i="11" s="1"/>
  <c r="C52" i="11"/>
  <c r="C52" i="14"/>
  <c r="F51" i="14"/>
  <c r="D53" i="13"/>
  <c r="F53" i="13"/>
  <c r="E53" i="13"/>
  <c r="E54" i="14"/>
  <c r="D54" i="14" s="1"/>
  <c r="C54" i="13" s="1"/>
  <c r="B55" i="14"/>
  <c r="B54" i="13"/>
  <c r="P52" i="9"/>
  <c r="O53" i="9"/>
  <c r="J44" i="28" l="1"/>
  <c r="K44" i="28" s="1"/>
  <c r="M43" i="33"/>
  <c r="C53" i="21"/>
  <c r="C52" i="32"/>
  <c r="G54" i="13"/>
  <c r="H54" i="13"/>
  <c r="I53" i="13"/>
  <c r="R42" i="22"/>
  <c r="O43" i="22" s="1"/>
  <c r="Q43" i="22"/>
  <c r="M43" i="23"/>
  <c r="J44" i="22"/>
  <c r="P43" i="22"/>
  <c r="F52" i="11"/>
  <c r="H52" i="11" s="1"/>
  <c r="C53" i="11"/>
  <c r="F52" i="14"/>
  <c r="C53" i="14"/>
  <c r="D54" i="13"/>
  <c r="E54" i="13"/>
  <c r="F54" i="13"/>
  <c r="E55" i="14"/>
  <c r="D55" i="14" s="1"/>
  <c r="C55" i="13" s="1"/>
  <c r="B56" i="14"/>
  <c r="B55" i="13"/>
  <c r="P53" i="9"/>
  <c r="O54" i="9"/>
  <c r="J45" i="28" l="1"/>
  <c r="K45" i="28" s="1"/>
  <c r="M44" i="33"/>
  <c r="C54" i="21"/>
  <c r="C53" i="32"/>
  <c r="G55" i="13"/>
  <c r="H55" i="13"/>
  <c r="I54" i="13"/>
  <c r="L44" i="22"/>
  <c r="M44" i="22" s="1"/>
  <c r="Q44" i="22"/>
  <c r="M44" i="23"/>
  <c r="R43" i="22"/>
  <c r="O44" i="22" s="1"/>
  <c r="F53" i="11"/>
  <c r="H53" i="11" s="1"/>
  <c r="C54" i="11"/>
  <c r="F53" i="14"/>
  <c r="C54" i="14"/>
  <c r="F55" i="13"/>
  <c r="E55" i="13"/>
  <c r="D55" i="13"/>
  <c r="B57" i="14"/>
  <c r="E56" i="14"/>
  <c r="D56" i="14" s="1"/>
  <c r="C56" i="13" s="1"/>
  <c r="B56" i="13"/>
  <c r="P54" i="9"/>
  <c r="O55" i="9"/>
  <c r="C55" i="21" l="1"/>
  <c r="C54" i="32"/>
  <c r="G56" i="13"/>
  <c r="H56" i="13"/>
  <c r="I55" i="13"/>
  <c r="P44" i="22"/>
  <c r="M45" i="33" s="1"/>
  <c r="J45" i="22"/>
  <c r="L45" i="22" s="1"/>
  <c r="M45" i="22" s="1"/>
  <c r="F54" i="11"/>
  <c r="H54" i="11" s="1"/>
  <c r="C55" i="11"/>
  <c r="F54" i="14"/>
  <c r="C55" i="14"/>
  <c r="D56" i="13"/>
  <c r="F56" i="13"/>
  <c r="E56" i="13"/>
  <c r="B58" i="14"/>
  <c r="E57" i="14"/>
  <c r="D57" i="14" s="1"/>
  <c r="C57" i="13" s="1"/>
  <c r="B57" i="13"/>
  <c r="P55" i="9"/>
  <c r="O56" i="9"/>
  <c r="C56" i="21" l="1"/>
  <c r="C55" i="32"/>
  <c r="G57" i="13"/>
  <c r="H57" i="13"/>
  <c r="R44" i="22"/>
  <c r="O45" i="22" s="1"/>
  <c r="J46" i="28"/>
  <c r="K46" i="28" s="1"/>
  <c r="I56" i="13"/>
  <c r="P45" i="22"/>
  <c r="J46" i="22"/>
  <c r="L46" i="22" s="1"/>
  <c r="M46" i="22" s="1"/>
  <c r="Q45" i="22"/>
  <c r="M45" i="23"/>
  <c r="F55" i="11"/>
  <c r="H55" i="11" s="1"/>
  <c r="C56" i="11"/>
  <c r="F55" i="14"/>
  <c r="C56" i="14"/>
  <c r="E58" i="14"/>
  <c r="D58" i="14" s="1"/>
  <c r="C58" i="13" s="1"/>
  <c r="B59" i="14"/>
  <c r="B58" i="13"/>
  <c r="E57" i="13"/>
  <c r="D57" i="13"/>
  <c r="F57" i="13"/>
  <c r="P56" i="9"/>
  <c r="O57" i="9"/>
  <c r="J47" i="28" l="1"/>
  <c r="K47" i="28" s="1"/>
  <c r="M46" i="33"/>
  <c r="C57" i="21"/>
  <c r="C56" i="32"/>
  <c r="G58" i="13"/>
  <c r="H58" i="13"/>
  <c r="I57" i="13"/>
  <c r="J47" i="22"/>
  <c r="P46" i="22"/>
  <c r="M47" i="33" s="1"/>
  <c r="M46" i="23"/>
  <c r="Q46" i="22"/>
  <c r="R45" i="22"/>
  <c r="O46" i="22" s="1"/>
  <c r="F56" i="11"/>
  <c r="H56" i="11" s="1"/>
  <c r="C57" i="11"/>
  <c r="F56" i="14"/>
  <c r="C57" i="14"/>
  <c r="E59" i="14"/>
  <c r="D59" i="14" s="1"/>
  <c r="C59" i="13" s="1"/>
  <c r="B60" i="14"/>
  <c r="B59" i="13"/>
  <c r="D58" i="13"/>
  <c r="E58" i="13"/>
  <c r="F58" i="13"/>
  <c r="P57" i="9"/>
  <c r="O58" i="9"/>
  <c r="C58" i="21" l="1"/>
  <c r="C57" i="32"/>
  <c r="G59" i="13"/>
  <c r="H59" i="13"/>
  <c r="J48" i="28"/>
  <c r="K48" i="28" s="1"/>
  <c r="I58" i="13"/>
  <c r="Q47" i="22"/>
  <c r="M47" i="23"/>
  <c r="R46" i="22"/>
  <c r="O47" i="22" s="1"/>
  <c r="L47" i="22"/>
  <c r="M47" i="22" s="1"/>
  <c r="F57" i="11"/>
  <c r="H57" i="11" s="1"/>
  <c r="C58" i="11"/>
  <c r="F57" i="14"/>
  <c r="C58" i="14"/>
  <c r="D59" i="13"/>
  <c r="E59" i="13"/>
  <c r="F59" i="13"/>
  <c r="B61" i="14"/>
  <c r="E60" i="14"/>
  <c r="D60" i="14" s="1"/>
  <c r="C60" i="13" s="1"/>
  <c r="B60" i="13"/>
  <c r="P58" i="9"/>
  <c r="O59" i="9"/>
  <c r="C59" i="21" l="1"/>
  <c r="C58" i="32"/>
  <c r="G60" i="13"/>
  <c r="H60" i="13"/>
  <c r="I59" i="13"/>
  <c r="P47" i="22"/>
  <c r="M48" i="33" s="1"/>
  <c r="J48" i="22"/>
  <c r="L48" i="22" s="1"/>
  <c r="M48" i="22" s="1"/>
  <c r="F58" i="11"/>
  <c r="H58" i="11" s="1"/>
  <c r="C59" i="11"/>
  <c r="F58" i="14"/>
  <c r="C59" i="14"/>
  <c r="E60" i="13"/>
  <c r="F60" i="13"/>
  <c r="D60" i="13"/>
  <c r="B62" i="14"/>
  <c r="E61" i="14"/>
  <c r="D61" i="14" s="1"/>
  <c r="C61" i="13" s="1"/>
  <c r="B61" i="13"/>
  <c r="O60" i="9"/>
  <c r="P59" i="9"/>
  <c r="C60" i="21" l="1"/>
  <c r="C59" i="32"/>
  <c r="G61" i="13"/>
  <c r="H61" i="13"/>
  <c r="J49" i="28"/>
  <c r="K49" i="28" s="1"/>
  <c r="I60" i="13"/>
  <c r="P48" i="22"/>
  <c r="J49" i="22"/>
  <c r="L49" i="22" s="1"/>
  <c r="M49" i="22" s="1"/>
  <c r="Q48" i="22"/>
  <c r="M48" i="23"/>
  <c r="R47" i="22"/>
  <c r="O48" i="22" s="1"/>
  <c r="F59" i="11"/>
  <c r="H59" i="11" s="1"/>
  <c r="C60" i="11"/>
  <c r="C60" i="14"/>
  <c r="F59" i="14"/>
  <c r="D61" i="13"/>
  <c r="F61" i="13"/>
  <c r="E61" i="13"/>
  <c r="E62" i="14"/>
  <c r="D62" i="14" s="1"/>
  <c r="C62" i="13" s="1"/>
  <c r="B63" i="14"/>
  <c r="B62" i="13"/>
  <c r="P60" i="9"/>
  <c r="O61" i="9"/>
  <c r="J50" i="28" l="1"/>
  <c r="K50" i="28" s="1"/>
  <c r="M49" i="33"/>
  <c r="C61" i="21"/>
  <c r="C60" i="32"/>
  <c r="G62" i="13"/>
  <c r="H62" i="13"/>
  <c r="I61" i="13"/>
  <c r="P49" i="22"/>
  <c r="J50" i="22"/>
  <c r="L50" i="22" s="1"/>
  <c r="M50" i="22" s="1"/>
  <c r="R48" i="22"/>
  <c r="O49" i="22" s="1"/>
  <c r="Q49" i="22"/>
  <c r="M49" i="23"/>
  <c r="F60" i="11"/>
  <c r="H60" i="11" s="1"/>
  <c r="C61" i="11"/>
  <c r="C61" i="14"/>
  <c r="F60" i="14"/>
  <c r="E63" i="14"/>
  <c r="D63" i="14" s="1"/>
  <c r="C63" i="13" s="1"/>
  <c r="B64" i="14"/>
  <c r="B63" i="13"/>
  <c r="F62" i="13"/>
  <c r="E62" i="13"/>
  <c r="D62" i="13"/>
  <c r="O62" i="9"/>
  <c r="P61" i="9"/>
  <c r="J51" i="28" l="1"/>
  <c r="K51" i="28" s="1"/>
  <c r="M50" i="33"/>
  <c r="C62" i="21"/>
  <c r="C61" i="32"/>
  <c r="G63" i="13"/>
  <c r="H63" i="13"/>
  <c r="I62" i="13"/>
  <c r="R49" i="22"/>
  <c r="O50" i="22" s="1"/>
  <c r="P50" i="22"/>
  <c r="J51" i="22"/>
  <c r="L51" i="22" s="1"/>
  <c r="M51" i="22" s="1"/>
  <c r="Q50" i="22"/>
  <c r="M50" i="23"/>
  <c r="F61" i="11"/>
  <c r="H61" i="11" s="1"/>
  <c r="C62" i="11"/>
  <c r="F61" i="14"/>
  <c r="C62" i="14"/>
  <c r="B65" i="14"/>
  <c r="E64" i="14"/>
  <c r="B64" i="13"/>
  <c r="D63" i="13"/>
  <c r="E63" i="13"/>
  <c r="F63" i="13"/>
  <c r="P62" i="9"/>
  <c r="O63" i="9"/>
  <c r="J52" i="28" l="1"/>
  <c r="K52" i="28" s="1"/>
  <c r="M51" i="33"/>
  <c r="C63" i="21"/>
  <c r="C62" i="32"/>
  <c r="G64" i="13"/>
  <c r="H64" i="13"/>
  <c r="C14" i="4"/>
  <c r="E14" i="4" s="1"/>
  <c r="D14" i="4" s="1"/>
  <c r="I63" i="13"/>
  <c r="D64" i="14"/>
  <c r="C64" i="13" s="1"/>
  <c r="C18" i="4"/>
  <c r="C15" i="4"/>
  <c r="C16" i="4"/>
  <c r="C17" i="4"/>
  <c r="P51" i="22"/>
  <c r="J52" i="22"/>
  <c r="L52" i="22" s="1"/>
  <c r="M52" i="22" s="1"/>
  <c r="Q51" i="22"/>
  <c r="M51" i="23"/>
  <c r="R50" i="22"/>
  <c r="O51" i="22" s="1"/>
  <c r="F62" i="11"/>
  <c r="H62" i="11" s="1"/>
  <c r="C63" i="11"/>
  <c r="F62" i="14"/>
  <c r="C63" i="14"/>
  <c r="E64" i="13"/>
  <c r="D64" i="13"/>
  <c r="F64" i="13"/>
  <c r="B66" i="14"/>
  <c r="E65" i="14"/>
  <c r="D65" i="14" s="1"/>
  <c r="C65" i="13" s="1"/>
  <c r="B65" i="13"/>
  <c r="P63" i="9"/>
  <c r="O64" i="9"/>
  <c r="J53" i="28" l="1"/>
  <c r="K53" i="28" s="1"/>
  <c r="M52" i="33"/>
  <c r="C64" i="21"/>
  <c r="C63" i="32"/>
  <c r="G65" i="13"/>
  <c r="H65" i="13"/>
  <c r="H66" i="23"/>
  <c r="H65" i="23"/>
  <c r="H63" i="23"/>
  <c r="H42" i="23"/>
  <c r="F63" i="23"/>
  <c r="H29" i="23"/>
  <c r="F41" i="23"/>
  <c r="F55" i="23"/>
  <c r="H58" i="23"/>
  <c r="H16" i="23"/>
  <c r="F17" i="23"/>
  <c r="F27" i="23"/>
  <c r="H55" i="23"/>
  <c r="F52" i="23"/>
  <c r="H50" i="23"/>
  <c r="H56" i="23"/>
  <c r="F29" i="23"/>
  <c r="F28" i="23"/>
  <c r="H60" i="23"/>
  <c r="F48" i="23"/>
  <c r="H62" i="23"/>
  <c r="F39" i="23"/>
  <c r="F21" i="23"/>
  <c r="H40" i="23"/>
  <c r="H26" i="23"/>
  <c r="F40" i="23"/>
  <c r="F20" i="23"/>
  <c r="F32" i="23"/>
  <c r="H22" i="23"/>
  <c r="F50" i="23"/>
  <c r="F26" i="23"/>
  <c r="H23" i="23"/>
  <c r="F45" i="23"/>
  <c r="F30" i="23"/>
  <c r="F16" i="23"/>
  <c r="F47" i="23"/>
  <c r="F64" i="23"/>
  <c r="H21" i="23"/>
  <c r="H33" i="23"/>
  <c r="H46" i="23"/>
  <c r="F25" i="23"/>
  <c r="F19" i="23"/>
  <c r="H45" i="23"/>
  <c r="F34" i="23"/>
  <c r="F13" i="23"/>
  <c r="G13" i="23" s="1"/>
  <c r="H47" i="23"/>
  <c r="F37" i="23"/>
  <c r="H15" i="23"/>
  <c r="H32" i="23"/>
  <c r="F60" i="23"/>
  <c r="F65" i="23"/>
  <c r="F42" i="23"/>
  <c r="F24" i="23"/>
  <c r="H37" i="23"/>
  <c r="H67" i="23"/>
  <c r="F36" i="23"/>
  <c r="H48" i="23"/>
  <c r="H44" i="23"/>
  <c r="H49" i="23"/>
  <c r="F58" i="23"/>
  <c r="H35" i="23"/>
  <c r="H61" i="23"/>
  <c r="F62" i="23"/>
  <c r="H51" i="23"/>
  <c r="H20" i="23"/>
  <c r="H18" i="23"/>
  <c r="F23" i="23"/>
  <c r="F18" i="23"/>
  <c r="H54" i="23"/>
  <c r="H27" i="23"/>
  <c r="F35" i="23"/>
  <c r="H25" i="23"/>
  <c r="F22" i="23"/>
  <c r="F46" i="23"/>
  <c r="H64" i="23"/>
  <c r="F51" i="23"/>
  <c r="H57" i="23"/>
  <c r="H39" i="23"/>
  <c r="G39" i="23" s="1"/>
  <c r="F53" i="23"/>
  <c r="F61" i="23"/>
  <c r="F31" i="23"/>
  <c r="F54" i="23"/>
  <c r="F67" i="23"/>
  <c r="H28" i="23"/>
  <c r="H43" i="23"/>
  <c r="H52" i="23"/>
  <c r="G52" i="23" s="1"/>
  <c r="F66" i="23"/>
  <c r="H10" i="24" s="1"/>
  <c r="H17" i="23"/>
  <c r="H38" i="23"/>
  <c r="H53" i="23"/>
  <c r="H59" i="23"/>
  <c r="F15" i="23"/>
  <c r="H36" i="23"/>
  <c r="H34" i="23"/>
  <c r="F44" i="23"/>
  <c r="F49" i="23"/>
  <c r="H30" i="23"/>
  <c r="F56" i="23"/>
  <c r="F43" i="23"/>
  <c r="H31" i="23"/>
  <c r="F38" i="23"/>
  <c r="F57" i="23"/>
  <c r="H24" i="23"/>
  <c r="H41" i="23"/>
  <c r="G41" i="23" s="1"/>
  <c r="F59" i="23"/>
  <c r="F33" i="23"/>
  <c r="H19" i="23"/>
  <c r="I64" i="13"/>
  <c r="I14" i="4"/>
  <c r="H14" i="4" s="1"/>
  <c r="P52" i="22"/>
  <c r="J53" i="22"/>
  <c r="L53" i="22" s="1"/>
  <c r="M53" i="22" s="1"/>
  <c r="R51" i="22"/>
  <c r="O52" i="22" s="1"/>
  <c r="Q52" i="22"/>
  <c r="M52" i="23"/>
  <c r="F63" i="11"/>
  <c r="H63" i="11" s="1"/>
  <c r="C64" i="11"/>
  <c r="F63" i="14"/>
  <c r="C64" i="14"/>
  <c r="E66" i="14"/>
  <c r="B66" i="13"/>
  <c r="F65" i="13"/>
  <c r="D65" i="13"/>
  <c r="E65" i="13"/>
  <c r="P64" i="9"/>
  <c r="O65" i="9"/>
  <c r="C10" i="24" l="1"/>
  <c r="J54" i="28"/>
  <c r="K54" i="28" s="1"/>
  <c r="M53" i="33"/>
  <c r="G17" i="23"/>
  <c r="G53" i="23"/>
  <c r="G37" i="23"/>
  <c r="G21" i="23"/>
  <c r="G20" i="23"/>
  <c r="G34" i="23"/>
  <c r="G27" i="23"/>
  <c r="G47" i="23"/>
  <c r="G36" i="23"/>
  <c r="G48" i="23"/>
  <c r="G32" i="23"/>
  <c r="G55" i="23"/>
  <c r="G61" i="23"/>
  <c r="G44" i="23"/>
  <c r="G65" i="23"/>
  <c r="G26" i="23"/>
  <c r="G62" i="23"/>
  <c r="Q65" i="9"/>
  <c r="G28" i="23"/>
  <c r="G10" i="24"/>
  <c r="G22" i="23"/>
  <c r="I53" i="33"/>
  <c r="I11" i="33"/>
  <c r="I23" i="33"/>
  <c r="I36" i="33"/>
  <c r="I50" i="33"/>
  <c r="I31" i="33"/>
  <c r="I61" i="33"/>
  <c r="I52" i="33"/>
  <c r="I21" i="33"/>
  <c r="I47" i="33"/>
  <c r="I44" i="33"/>
  <c r="I15" i="33"/>
  <c r="I13" i="33"/>
  <c r="I20" i="33"/>
  <c r="I29" i="33"/>
  <c r="I32" i="33"/>
  <c r="I38" i="33"/>
  <c r="I45" i="33"/>
  <c r="I30" i="33"/>
  <c r="I27" i="33"/>
  <c r="I28" i="33"/>
  <c r="I35" i="33"/>
  <c r="I25" i="33"/>
  <c r="I17" i="33"/>
  <c r="I39" i="33"/>
  <c r="I37" i="33"/>
  <c r="I40" i="33"/>
  <c r="I58" i="33"/>
  <c r="I55" i="33"/>
  <c r="I51" i="33"/>
  <c r="I49" i="33"/>
  <c r="I63" i="33"/>
  <c r="I56" i="33"/>
  <c r="I19" i="33"/>
  <c r="I34" i="33"/>
  <c r="I26" i="33"/>
  <c r="I16" i="33"/>
  <c r="I48" i="33"/>
  <c r="I60" i="33"/>
  <c r="I42" i="33"/>
  <c r="I62" i="33"/>
  <c r="I33" i="33"/>
  <c r="I43" i="33"/>
  <c r="I59" i="33"/>
  <c r="I41" i="33"/>
  <c r="I18" i="33"/>
  <c r="I22" i="33"/>
  <c r="I65" i="33"/>
  <c r="I57" i="33"/>
  <c r="I24" i="33"/>
  <c r="I64" i="33"/>
  <c r="I46" i="33"/>
  <c r="I54" i="33"/>
  <c r="G31" i="23"/>
  <c r="G25" i="23"/>
  <c r="G40" i="23"/>
  <c r="G24" i="23"/>
  <c r="G59" i="23"/>
  <c r="G33" i="23"/>
  <c r="C65" i="21"/>
  <c r="C64" i="32"/>
  <c r="G29" i="23"/>
  <c r="G30" i="23"/>
  <c r="E17" i="24"/>
  <c r="G38" i="23"/>
  <c r="G43" i="23"/>
  <c r="G57" i="23"/>
  <c r="G54" i="23"/>
  <c r="G17" i="24"/>
  <c r="G35" i="23"/>
  <c r="G23" i="23"/>
  <c r="G56" i="23"/>
  <c r="G58" i="23"/>
  <c r="G66" i="13"/>
  <c r="H66" i="13"/>
  <c r="G19" i="23"/>
  <c r="D10" i="24"/>
  <c r="G51" i="23"/>
  <c r="F10" i="24"/>
  <c r="G15" i="23"/>
  <c r="G46" i="23"/>
  <c r="G60" i="23"/>
  <c r="G50" i="23"/>
  <c r="G42" i="23"/>
  <c r="F17" i="24"/>
  <c r="G66" i="23"/>
  <c r="H17" i="24"/>
  <c r="H11" i="24" s="1"/>
  <c r="G18" i="23"/>
  <c r="D17" i="24"/>
  <c r="D7" i="8"/>
  <c r="E7" i="8"/>
  <c r="C20" i="4"/>
  <c r="C6" i="16"/>
  <c r="G64" i="23"/>
  <c r="G49" i="23"/>
  <c r="G67" i="23"/>
  <c r="C17" i="24"/>
  <c r="G45" i="23"/>
  <c r="E10" i="24"/>
  <c r="G16" i="23"/>
  <c r="G63" i="23"/>
  <c r="I65" i="13"/>
  <c r="I66" i="33" s="1"/>
  <c r="C7" i="8"/>
  <c r="C8" i="24"/>
  <c r="C19" i="4"/>
  <c r="I61" i="23"/>
  <c r="I29" i="23"/>
  <c r="I13" i="23"/>
  <c r="I28" i="23"/>
  <c r="I59" i="23"/>
  <c r="I41" i="23"/>
  <c r="I42" i="23"/>
  <c r="I43" i="23"/>
  <c r="I52" i="23"/>
  <c r="I34" i="23"/>
  <c r="I19" i="23"/>
  <c r="I37" i="23"/>
  <c r="I31" i="23"/>
  <c r="I51" i="23"/>
  <c r="I63" i="23"/>
  <c r="I16" i="23"/>
  <c r="I64" i="23"/>
  <c r="I47" i="23"/>
  <c r="I35" i="23"/>
  <c r="I18" i="23"/>
  <c r="I44" i="23"/>
  <c r="I58" i="23"/>
  <c r="I21" i="23"/>
  <c r="I20" i="23"/>
  <c r="I54" i="23"/>
  <c r="I25" i="23"/>
  <c r="I49" i="23"/>
  <c r="I46" i="23"/>
  <c r="I17" i="23"/>
  <c r="I56" i="23"/>
  <c r="I48" i="23"/>
  <c r="I33" i="23"/>
  <c r="I22" i="23"/>
  <c r="I62" i="23"/>
  <c r="I26" i="23"/>
  <c r="I53" i="23"/>
  <c r="I39" i="23"/>
  <c r="I30" i="23"/>
  <c r="I23" i="23"/>
  <c r="I40" i="23"/>
  <c r="I38" i="23"/>
  <c r="I60" i="23"/>
  <c r="I65" i="23"/>
  <c r="I32" i="23"/>
  <c r="I15" i="23"/>
  <c r="I57" i="23"/>
  <c r="I50" i="23"/>
  <c r="I24" i="23"/>
  <c r="I45" i="23"/>
  <c r="I55" i="23"/>
  <c r="I36" i="23"/>
  <c r="I27" i="23"/>
  <c r="R52" i="22"/>
  <c r="O53" i="22" s="1"/>
  <c r="P53" i="22"/>
  <c r="M54" i="33" s="1"/>
  <c r="J54" i="22"/>
  <c r="L54" i="22" s="1"/>
  <c r="M54" i="22" s="1"/>
  <c r="Q53" i="22"/>
  <c r="M53" i="23"/>
  <c r="F64" i="11"/>
  <c r="H64" i="11" s="1"/>
  <c r="C65" i="11"/>
  <c r="H18" i="21"/>
  <c r="H7" i="21"/>
  <c r="H8" i="21"/>
  <c r="H29" i="21"/>
  <c r="H14" i="21"/>
  <c r="H37" i="21"/>
  <c r="H22" i="21"/>
  <c r="H13" i="21"/>
  <c r="H23" i="21"/>
  <c r="H19" i="21"/>
  <c r="H11" i="21"/>
  <c r="H15" i="21"/>
  <c r="H9" i="21"/>
  <c r="H24" i="21"/>
  <c r="H25" i="21"/>
  <c r="H35" i="21"/>
  <c r="H38" i="21"/>
  <c r="H36" i="21"/>
  <c r="H26" i="21"/>
  <c r="H28" i="21"/>
  <c r="H16" i="21"/>
  <c r="H12" i="21"/>
  <c r="H10" i="21"/>
  <c r="H20" i="21"/>
  <c r="H31" i="21"/>
  <c r="H32" i="21"/>
  <c r="H17" i="21"/>
  <c r="H39" i="21"/>
  <c r="H33" i="21"/>
  <c r="H30" i="21"/>
  <c r="H34" i="21"/>
  <c r="H21" i="21"/>
  <c r="H27" i="21"/>
  <c r="H40" i="21"/>
  <c r="H41" i="21"/>
  <c r="H43" i="21"/>
  <c r="H42" i="21"/>
  <c r="D66" i="14"/>
  <c r="H7" i="8"/>
  <c r="F7" i="8"/>
  <c r="I7" i="8"/>
  <c r="H7" i="30" s="1"/>
  <c r="G7" i="8"/>
  <c r="F64" i="14"/>
  <c r="C65" i="14"/>
  <c r="I66" i="23"/>
  <c r="D66" i="13"/>
  <c r="F66" i="13"/>
  <c r="E66" i="13"/>
  <c r="G7" i="9"/>
  <c r="H42" i="32" l="1"/>
  <c r="H27" i="32"/>
  <c r="H33" i="32"/>
  <c r="H31" i="32"/>
  <c r="H16" i="32"/>
  <c r="H38" i="32"/>
  <c r="H9" i="32"/>
  <c r="H23" i="32"/>
  <c r="H14" i="32"/>
  <c r="H18" i="32"/>
  <c r="H43" i="32"/>
  <c r="H21" i="32"/>
  <c r="H39" i="32"/>
  <c r="H20" i="32"/>
  <c r="H28" i="32"/>
  <c r="H35" i="32"/>
  <c r="H15" i="32"/>
  <c r="H13" i="32"/>
  <c r="H29" i="32"/>
  <c r="H40" i="32"/>
  <c r="H41" i="32"/>
  <c r="H34" i="32"/>
  <c r="H17" i="32"/>
  <c r="H10" i="32"/>
  <c r="H26" i="32"/>
  <c r="H25" i="32"/>
  <c r="H11" i="32"/>
  <c r="H22" i="32"/>
  <c r="H8" i="32"/>
  <c r="H30" i="32"/>
  <c r="H32" i="32"/>
  <c r="H12" i="32"/>
  <c r="H36" i="32"/>
  <c r="H24" i="32"/>
  <c r="H19" i="32"/>
  <c r="H37" i="32"/>
  <c r="H7" i="32"/>
  <c r="D7" i="30"/>
  <c r="C7" i="30"/>
  <c r="D11" i="24"/>
  <c r="F11" i="24"/>
  <c r="G11" i="24"/>
  <c r="C11" i="24"/>
  <c r="Y71" i="9"/>
  <c r="W71" i="9"/>
  <c r="U75" i="9"/>
  <c r="W81" i="9"/>
  <c r="W85" i="9"/>
  <c r="U89" i="9"/>
  <c r="Q89" i="9"/>
  <c r="Q95" i="9"/>
  <c r="U99" i="9"/>
  <c r="R103" i="9"/>
  <c r="Y107" i="9"/>
  <c r="Q107" i="9"/>
  <c r="Q111" i="9"/>
  <c r="Y115" i="9"/>
  <c r="U119" i="9"/>
  <c r="U125" i="9"/>
  <c r="Q125" i="9"/>
  <c r="Q127" i="9"/>
  <c r="Q5" i="9"/>
  <c r="W69" i="9"/>
  <c r="Y79" i="9"/>
  <c r="W79" i="9"/>
  <c r="U91" i="9"/>
  <c r="Y105" i="9"/>
  <c r="Y121" i="9"/>
  <c r="R66" i="9"/>
  <c r="W66" i="9"/>
  <c r="Q68" i="9"/>
  <c r="Y70" i="9"/>
  <c r="R72" i="9"/>
  <c r="R74" i="9"/>
  <c r="W74" i="9"/>
  <c r="Q76" i="9"/>
  <c r="Q78" i="9"/>
  <c r="R80" i="9"/>
  <c r="R82" i="9"/>
  <c r="W82" i="9"/>
  <c r="Q84" i="9"/>
  <c r="Y86" i="9"/>
  <c r="R88" i="9"/>
  <c r="R90" i="9"/>
  <c r="Y90" i="9"/>
  <c r="Q92" i="9"/>
  <c r="Q94" i="9"/>
  <c r="R96" i="9"/>
  <c r="R98" i="9"/>
  <c r="Y98" i="9"/>
  <c r="Y100" i="9"/>
  <c r="Y102" i="9"/>
  <c r="R104" i="9"/>
  <c r="R106" i="9"/>
  <c r="Y106" i="9"/>
  <c r="Q108" i="9"/>
  <c r="Q110" i="9"/>
  <c r="R112" i="9"/>
  <c r="R114" i="9"/>
  <c r="Y114" i="9"/>
  <c r="Q116" i="9"/>
  <c r="Q118" i="9"/>
  <c r="R120" i="9"/>
  <c r="R122" i="9"/>
  <c r="W122" i="9"/>
  <c r="Y124" i="9"/>
  <c r="Q126" i="9"/>
  <c r="R128" i="9"/>
  <c r="Y67" i="9"/>
  <c r="W67" i="9"/>
  <c r="R73" i="9"/>
  <c r="W77" i="9"/>
  <c r="R83" i="9"/>
  <c r="Y87" i="9"/>
  <c r="W87" i="9"/>
  <c r="Q93" i="9"/>
  <c r="Q97" i="9"/>
  <c r="Y101" i="9"/>
  <c r="U109" i="9"/>
  <c r="Q109" i="9"/>
  <c r="Q113" i="9"/>
  <c r="W117" i="9"/>
  <c r="U123" i="9"/>
  <c r="U129" i="9"/>
  <c r="R129" i="9"/>
  <c r="R113" i="9"/>
  <c r="W129" i="9"/>
  <c r="R71" i="9"/>
  <c r="Y75" i="9"/>
  <c r="Q75" i="9"/>
  <c r="Q81" i="9"/>
  <c r="R85" i="9"/>
  <c r="R89" i="9"/>
  <c r="Y95" i="9"/>
  <c r="W95" i="9"/>
  <c r="Q99" i="9"/>
  <c r="Q103" i="9"/>
  <c r="R107" i="9"/>
  <c r="Y111" i="9"/>
  <c r="W111" i="9"/>
  <c r="Q115" i="9"/>
  <c r="Q119" i="9"/>
  <c r="R125" i="9"/>
  <c r="R127" i="9"/>
  <c r="W127" i="9"/>
  <c r="Y5" i="9"/>
  <c r="R69" i="9"/>
  <c r="R79" i="9"/>
  <c r="Y91" i="9"/>
  <c r="Q91" i="9"/>
  <c r="Q105" i="9"/>
  <c r="W121" i="9"/>
  <c r="U66" i="9"/>
  <c r="U68" i="9"/>
  <c r="W68" i="9"/>
  <c r="Q70" i="9"/>
  <c r="Q72" i="9"/>
  <c r="U74" i="9"/>
  <c r="U76" i="9"/>
  <c r="W76" i="9"/>
  <c r="W78" i="9"/>
  <c r="Y80" i="9"/>
  <c r="U82" i="9"/>
  <c r="U84" i="9"/>
  <c r="W84" i="9"/>
  <c r="Q86" i="9"/>
  <c r="Y88" i="9"/>
  <c r="U90" i="9"/>
  <c r="U92" i="9"/>
  <c r="W92" i="9"/>
  <c r="Y94" i="9"/>
  <c r="Y96" i="9"/>
  <c r="U98" i="9"/>
  <c r="U100" i="9"/>
  <c r="W100" i="9"/>
  <c r="Q102" i="9"/>
  <c r="Y104" i="9"/>
  <c r="U106" i="9"/>
  <c r="U108" i="9"/>
  <c r="W108" i="9"/>
  <c r="Y110" i="9"/>
  <c r="Y112" i="9"/>
  <c r="U114" i="9"/>
  <c r="U116" i="9"/>
  <c r="W116" i="9"/>
  <c r="W118" i="9"/>
  <c r="Y120" i="9"/>
  <c r="U122" i="9"/>
  <c r="U124" i="9"/>
  <c r="W124" i="9"/>
  <c r="Y126" i="9"/>
  <c r="Y128" i="9"/>
  <c r="R67" i="9"/>
  <c r="U73" i="9"/>
  <c r="Q73" i="9"/>
  <c r="Q77" i="9"/>
  <c r="U83" i="9"/>
  <c r="R87" i="9"/>
  <c r="U93" i="9"/>
  <c r="Y93" i="9"/>
  <c r="W97" i="9"/>
  <c r="W101" i="9"/>
  <c r="R109" i="9"/>
  <c r="U113" i="9"/>
  <c r="W113" i="9"/>
  <c r="R117" i="9"/>
  <c r="Y123" i="9"/>
  <c r="Y129" i="9"/>
  <c r="R124" i="9"/>
  <c r="W126" i="9"/>
  <c r="U67" i="9"/>
  <c r="W73" i="9"/>
  <c r="U77" i="9"/>
  <c r="Q83" i="9"/>
  <c r="R93" i="9"/>
  <c r="R101" i="9"/>
  <c r="Y109" i="9"/>
  <c r="U117" i="9"/>
  <c r="W123" i="9"/>
  <c r="Q129" i="9"/>
  <c r="W75" i="9"/>
  <c r="Y81" i="9"/>
  <c r="U85" i="9"/>
  <c r="Q85" i="9"/>
  <c r="Y103" i="9"/>
  <c r="W103" i="9"/>
  <c r="W107" i="9"/>
  <c r="U111" i="9"/>
  <c r="R119" i="9"/>
  <c r="R5" i="9"/>
  <c r="Q79" i="9"/>
  <c r="W105" i="9"/>
  <c r="Q121" i="9"/>
  <c r="U72" i="9"/>
  <c r="Y74" i="9"/>
  <c r="U78" i="9"/>
  <c r="Q80" i="9"/>
  <c r="W88" i="9"/>
  <c r="W90" i="9"/>
  <c r="Y92" i="9"/>
  <c r="U96" i="9"/>
  <c r="W98" i="9"/>
  <c r="U102" i="9"/>
  <c r="U104" i="9"/>
  <c r="W104" i="9"/>
  <c r="W106" i="9"/>
  <c r="U110" i="9"/>
  <c r="Q112" i="9"/>
  <c r="U120" i="9"/>
  <c r="U126" i="9"/>
  <c r="U128" i="9"/>
  <c r="W128" i="9"/>
  <c r="Q67" i="9"/>
  <c r="Y83" i="9"/>
  <c r="W83" i="9"/>
  <c r="U87" i="9"/>
  <c r="U101" i="9"/>
  <c r="W109" i="9"/>
  <c r="Y117" i="9"/>
  <c r="R123" i="9"/>
  <c r="U71" i="9"/>
  <c r="R75" i="9"/>
  <c r="U81" i="9"/>
  <c r="R81" i="9"/>
  <c r="Y85" i="9"/>
  <c r="W89" i="9"/>
  <c r="R95" i="9"/>
  <c r="Y99" i="9"/>
  <c r="W99" i="9"/>
  <c r="U103" i="9"/>
  <c r="U107" i="9"/>
  <c r="R111" i="9"/>
  <c r="R115" i="9"/>
  <c r="W115" i="9"/>
  <c r="W119" i="9"/>
  <c r="Y125" i="9"/>
  <c r="Y127" i="9"/>
  <c r="U5" i="9"/>
  <c r="W5" i="9"/>
  <c r="Y69" i="9"/>
  <c r="U79" i="9"/>
  <c r="R91" i="9"/>
  <c r="U105" i="9"/>
  <c r="R105" i="9"/>
  <c r="R121" i="9"/>
  <c r="Q66" i="9"/>
  <c r="R68" i="9"/>
  <c r="R70" i="9"/>
  <c r="W70" i="9"/>
  <c r="W72" i="9"/>
  <c r="Q74" i="9"/>
  <c r="R76" i="9"/>
  <c r="R78" i="9"/>
  <c r="Y78" i="9"/>
  <c r="W80" i="9"/>
  <c r="Q82" i="9"/>
  <c r="R84" i="9"/>
  <c r="R86" i="9"/>
  <c r="W86" i="9"/>
  <c r="Q88" i="9"/>
  <c r="Q90" i="9"/>
  <c r="R92" i="9"/>
  <c r="R94" i="9"/>
  <c r="W94" i="9"/>
  <c r="Q96" i="9"/>
  <c r="Q98" i="9"/>
  <c r="R100" i="9"/>
  <c r="R102" i="9"/>
  <c r="W102" i="9"/>
  <c r="Q104" i="9"/>
  <c r="Q106" i="9"/>
  <c r="R108" i="9"/>
  <c r="R110" i="9"/>
  <c r="W110" i="9"/>
  <c r="W112" i="9"/>
  <c r="Q114" i="9"/>
  <c r="R116" i="9"/>
  <c r="R118" i="9"/>
  <c r="Y118" i="9"/>
  <c r="Q120" i="9"/>
  <c r="Q122" i="9"/>
  <c r="R126" i="9"/>
  <c r="Q128" i="9"/>
  <c r="Y77" i="9"/>
  <c r="Q87" i="9"/>
  <c r="U97" i="9"/>
  <c r="R97" i="9"/>
  <c r="Y113" i="9"/>
  <c r="Q117" i="9"/>
  <c r="Q71" i="9"/>
  <c r="Y89" i="9"/>
  <c r="U95" i="9"/>
  <c r="R99" i="9"/>
  <c r="U115" i="9"/>
  <c r="Y119" i="9"/>
  <c r="W125" i="9"/>
  <c r="U127" i="9"/>
  <c r="U69" i="9"/>
  <c r="Q69" i="9"/>
  <c r="W91" i="9"/>
  <c r="U121" i="9"/>
  <c r="Y66" i="9"/>
  <c r="Y68" i="9"/>
  <c r="U70" i="9"/>
  <c r="Y72" i="9"/>
  <c r="Y76" i="9"/>
  <c r="U80" i="9"/>
  <c r="Y82" i="9"/>
  <c r="Y84" i="9"/>
  <c r="U86" i="9"/>
  <c r="U88" i="9"/>
  <c r="U94" i="9"/>
  <c r="W96" i="9"/>
  <c r="Q100" i="9"/>
  <c r="Y108" i="9"/>
  <c r="U112" i="9"/>
  <c r="W114" i="9"/>
  <c r="Y116" i="9"/>
  <c r="U118" i="9"/>
  <c r="W120" i="9"/>
  <c r="Y122" i="9"/>
  <c r="Q124" i="9"/>
  <c r="Y73" i="9"/>
  <c r="R77" i="9"/>
  <c r="W93" i="9"/>
  <c r="Y97" i="9"/>
  <c r="Q101" i="9"/>
  <c r="Q123" i="9"/>
  <c r="R6" i="9"/>
  <c r="W6" i="9"/>
  <c r="Y6" i="9"/>
  <c r="U6" i="9"/>
  <c r="Q6" i="9"/>
  <c r="R7" i="9"/>
  <c r="W7" i="9"/>
  <c r="Q7" i="9"/>
  <c r="U7" i="9"/>
  <c r="Y7" i="9"/>
  <c r="U8" i="9"/>
  <c r="Q8" i="9"/>
  <c r="R8" i="9"/>
  <c r="W8" i="9"/>
  <c r="Y8" i="9"/>
  <c r="U9" i="9"/>
  <c r="Q9" i="9"/>
  <c r="Y9" i="9"/>
  <c r="R9" i="9"/>
  <c r="W9" i="9"/>
  <c r="R10" i="9"/>
  <c r="Y10" i="9"/>
  <c r="W10" i="9"/>
  <c r="U10" i="9"/>
  <c r="Q10" i="9"/>
  <c r="R11" i="9"/>
  <c r="U11" i="9"/>
  <c r="Y11" i="9"/>
  <c r="Q11" i="9"/>
  <c r="W11" i="9"/>
  <c r="U12" i="9"/>
  <c r="Q12" i="9"/>
  <c r="R12" i="9"/>
  <c r="W12" i="9"/>
  <c r="Y12" i="9"/>
  <c r="U13" i="9"/>
  <c r="Q13" i="9"/>
  <c r="Y13" i="9"/>
  <c r="W13" i="9"/>
  <c r="R13" i="9"/>
  <c r="R14" i="9"/>
  <c r="Y14" i="9"/>
  <c r="W14" i="9"/>
  <c r="U14" i="9"/>
  <c r="Q14" i="9"/>
  <c r="R15" i="9"/>
  <c r="Y15" i="9"/>
  <c r="Q15" i="9"/>
  <c r="U15" i="9"/>
  <c r="W15" i="9"/>
  <c r="U16" i="9"/>
  <c r="Q16" i="9"/>
  <c r="R16" i="9"/>
  <c r="W16" i="9"/>
  <c r="Y16" i="9"/>
  <c r="U17" i="9"/>
  <c r="W17" i="9"/>
  <c r="R17" i="9"/>
  <c r="Y17" i="9"/>
  <c r="Q17" i="9"/>
  <c r="U18" i="9"/>
  <c r="Y18" i="9"/>
  <c r="W18" i="9"/>
  <c r="R18" i="9"/>
  <c r="Q18" i="9"/>
  <c r="U19" i="9"/>
  <c r="Y19" i="9"/>
  <c r="W19" i="9"/>
  <c r="R19" i="9"/>
  <c r="Q19" i="9"/>
  <c r="U20" i="9"/>
  <c r="W20" i="9"/>
  <c r="R20" i="9"/>
  <c r="Y20" i="9"/>
  <c r="Q20" i="9"/>
  <c r="Y21" i="9"/>
  <c r="Q21" i="9"/>
  <c r="W21" i="9"/>
  <c r="R21" i="9"/>
  <c r="U21" i="9"/>
  <c r="U22" i="9"/>
  <c r="W22" i="9"/>
  <c r="Y22" i="9"/>
  <c r="R22" i="9"/>
  <c r="Q22" i="9"/>
  <c r="R23" i="9"/>
  <c r="Y23" i="9"/>
  <c r="W23" i="9"/>
  <c r="Q23" i="9"/>
  <c r="U23" i="9"/>
  <c r="U24" i="9"/>
  <c r="Y24" i="9"/>
  <c r="Q24" i="9"/>
  <c r="R24" i="9"/>
  <c r="W24" i="9"/>
  <c r="Y25" i="9"/>
  <c r="Q25" i="9"/>
  <c r="U25" i="9"/>
  <c r="R25" i="9"/>
  <c r="W25" i="9"/>
  <c r="U26" i="9"/>
  <c r="Y26" i="9"/>
  <c r="Q26" i="9"/>
  <c r="R26" i="9"/>
  <c r="W26" i="9"/>
  <c r="Y27" i="9"/>
  <c r="Q27" i="9"/>
  <c r="W27" i="9"/>
  <c r="U27" i="9"/>
  <c r="R27" i="9"/>
  <c r="Y28" i="9"/>
  <c r="R28" i="9"/>
  <c r="Q28" i="9"/>
  <c r="U28" i="9"/>
  <c r="W28" i="9"/>
  <c r="U29" i="9"/>
  <c r="Q29" i="9"/>
  <c r="Y29" i="9"/>
  <c r="W29" i="9"/>
  <c r="R29" i="9"/>
  <c r="R30" i="9"/>
  <c r="U30" i="9"/>
  <c r="W30" i="9"/>
  <c r="Y30" i="9"/>
  <c r="Q30" i="9"/>
  <c r="Y31" i="9"/>
  <c r="W31" i="9"/>
  <c r="R31" i="9"/>
  <c r="U31" i="9"/>
  <c r="Q31" i="9"/>
  <c r="U32" i="9"/>
  <c r="Q32" i="9"/>
  <c r="Y32" i="9"/>
  <c r="W32" i="9"/>
  <c r="R32" i="9"/>
  <c r="U33" i="9"/>
  <c r="R33" i="9"/>
  <c r="Y33" i="9"/>
  <c r="W33" i="9"/>
  <c r="Q33" i="9"/>
  <c r="R34" i="9"/>
  <c r="U34" i="9"/>
  <c r="Y34" i="9"/>
  <c r="W34" i="9"/>
  <c r="Q34" i="9"/>
  <c r="Y35" i="9"/>
  <c r="W35" i="9"/>
  <c r="R35" i="9"/>
  <c r="U35" i="9"/>
  <c r="Q35" i="9"/>
  <c r="U36" i="9"/>
  <c r="W36" i="9"/>
  <c r="Y36" i="9"/>
  <c r="Q36" i="9"/>
  <c r="R36" i="9"/>
  <c r="U37" i="9"/>
  <c r="Q37" i="9"/>
  <c r="R37" i="9"/>
  <c r="Y37" i="9"/>
  <c r="W37" i="9"/>
  <c r="R38" i="9"/>
  <c r="Y38" i="9"/>
  <c r="U38" i="9"/>
  <c r="W38" i="9"/>
  <c r="Q38" i="9"/>
  <c r="Y39" i="9"/>
  <c r="W39" i="9"/>
  <c r="U39" i="9"/>
  <c r="R39" i="9"/>
  <c r="Q39" i="9"/>
  <c r="U40" i="9"/>
  <c r="W40" i="9"/>
  <c r="Q40" i="9"/>
  <c r="Y40" i="9"/>
  <c r="R40" i="9"/>
  <c r="U41" i="9"/>
  <c r="Q41" i="9"/>
  <c r="Y41" i="9"/>
  <c r="W41" i="9"/>
  <c r="R41" i="9"/>
  <c r="R42" i="9"/>
  <c r="W42" i="9"/>
  <c r="Y42" i="9"/>
  <c r="U42" i="9"/>
  <c r="Q42" i="9"/>
  <c r="Y43" i="9"/>
  <c r="Q43" i="9"/>
  <c r="R43" i="9"/>
  <c r="W43" i="9"/>
  <c r="U43" i="9"/>
  <c r="U44" i="9"/>
  <c r="W44" i="9"/>
  <c r="R44" i="9"/>
  <c r="Y44" i="9"/>
  <c r="Q44" i="9"/>
  <c r="U45" i="9"/>
  <c r="Q45" i="9"/>
  <c r="R45" i="9"/>
  <c r="W45" i="9"/>
  <c r="Y45" i="9"/>
  <c r="R46" i="9"/>
  <c r="W46" i="9"/>
  <c r="U46" i="9"/>
  <c r="Q46" i="9"/>
  <c r="Y46" i="9"/>
  <c r="Y47" i="9"/>
  <c r="W47" i="9"/>
  <c r="U47" i="9"/>
  <c r="R47" i="9"/>
  <c r="Q47" i="9"/>
  <c r="U48" i="9"/>
  <c r="Q48" i="9"/>
  <c r="R48" i="9"/>
  <c r="W48" i="9"/>
  <c r="Y48" i="9"/>
  <c r="U49" i="9"/>
  <c r="Q49" i="9"/>
  <c r="Y49" i="9"/>
  <c r="W49" i="9"/>
  <c r="R49" i="9"/>
  <c r="R50" i="9"/>
  <c r="U50" i="9"/>
  <c r="W50" i="9"/>
  <c r="Y50" i="9"/>
  <c r="Q50" i="9"/>
  <c r="Y51" i="9"/>
  <c r="W51" i="9"/>
  <c r="Q51" i="9"/>
  <c r="R51" i="9"/>
  <c r="U51" i="9"/>
  <c r="U52" i="9"/>
  <c r="W52" i="9"/>
  <c r="R52" i="9"/>
  <c r="Y52" i="9"/>
  <c r="Q52" i="9"/>
  <c r="U53" i="9"/>
  <c r="Q53" i="9"/>
  <c r="W53" i="9"/>
  <c r="Y53" i="9"/>
  <c r="R53" i="9"/>
  <c r="R54" i="9"/>
  <c r="U54" i="9"/>
  <c r="Q54" i="9"/>
  <c r="Y54" i="9"/>
  <c r="W54" i="9"/>
  <c r="Y55" i="9"/>
  <c r="U55" i="9"/>
  <c r="Q55" i="9"/>
  <c r="R55" i="9"/>
  <c r="W55" i="9"/>
  <c r="U56" i="9"/>
  <c r="W56" i="9"/>
  <c r="Q56" i="9"/>
  <c r="R56" i="9"/>
  <c r="Y56" i="9"/>
  <c r="U57" i="9"/>
  <c r="Y57" i="9"/>
  <c r="Q57" i="9"/>
  <c r="W57" i="9"/>
  <c r="R57" i="9"/>
  <c r="R58" i="9"/>
  <c r="W58" i="9"/>
  <c r="U58" i="9"/>
  <c r="Q58" i="9"/>
  <c r="Y58" i="9"/>
  <c r="Y59" i="9"/>
  <c r="Q59" i="9"/>
  <c r="R59" i="9"/>
  <c r="W59" i="9"/>
  <c r="U59" i="9"/>
  <c r="U60" i="9"/>
  <c r="W60" i="9"/>
  <c r="Y60" i="9"/>
  <c r="Q60" i="9"/>
  <c r="R60" i="9"/>
  <c r="U61" i="9"/>
  <c r="Q61" i="9"/>
  <c r="W61" i="9"/>
  <c r="Y61" i="9"/>
  <c r="R61" i="9"/>
  <c r="W62" i="9"/>
  <c r="U62" i="9"/>
  <c r="Q62" i="9"/>
  <c r="Y62" i="9"/>
  <c r="R62" i="9"/>
  <c r="Y63" i="9"/>
  <c r="W63" i="9"/>
  <c r="U63" i="9"/>
  <c r="R63" i="9"/>
  <c r="Q63" i="9"/>
  <c r="U64" i="9"/>
  <c r="Q64" i="9"/>
  <c r="R64" i="9"/>
  <c r="W64" i="9"/>
  <c r="Y64" i="9"/>
  <c r="W65" i="9"/>
  <c r="Y65" i="9"/>
  <c r="R65" i="9"/>
  <c r="U65" i="9"/>
  <c r="D6" i="8"/>
  <c r="C6" i="30" s="1"/>
  <c r="B7" i="30"/>
  <c r="I6" i="8"/>
  <c r="H6" i="30" s="1"/>
  <c r="G7" i="30"/>
  <c r="F7" i="30"/>
  <c r="H6" i="8"/>
  <c r="G6" i="30" s="1"/>
  <c r="D20" i="16"/>
  <c r="D29" i="16" s="1"/>
  <c r="E7" i="30"/>
  <c r="G6" i="8"/>
  <c r="F6" i="30" s="1"/>
  <c r="C66" i="21"/>
  <c r="C65" i="32"/>
  <c r="X5" i="9"/>
  <c r="X69" i="9"/>
  <c r="X111" i="9"/>
  <c r="X117" i="9"/>
  <c r="X68" i="9"/>
  <c r="X76" i="9"/>
  <c r="X67" i="9"/>
  <c r="X73" i="9"/>
  <c r="X91" i="9"/>
  <c r="X97" i="9"/>
  <c r="X119" i="9"/>
  <c r="X95" i="9"/>
  <c r="X101" i="9"/>
  <c r="X125" i="9"/>
  <c r="X74" i="9"/>
  <c r="X82" i="9"/>
  <c r="X90" i="9"/>
  <c r="X98" i="9"/>
  <c r="X106" i="9"/>
  <c r="X114" i="9"/>
  <c r="X122" i="9"/>
  <c r="X87" i="9"/>
  <c r="X93" i="9"/>
  <c r="X120" i="9"/>
  <c r="X71" i="9"/>
  <c r="X123" i="9"/>
  <c r="X75" i="9"/>
  <c r="X81" i="9"/>
  <c r="X72" i="9"/>
  <c r="X80" i="9"/>
  <c r="X88" i="9"/>
  <c r="X96" i="9"/>
  <c r="X104" i="9"/>
  <c r="X112" i="9"/>
  <c r="X128" i="9"/>
  <c r="X85" i="9"/>
  <c r="X127" i="9"/>
  <c r="X70" i="9"/>
  <c r="X86" i="9"/>
  <c r="X102" i="9"/>
  <c r="X118" i="9"/>
  <c r="X77" i="9"/>
  <c r="X115" i="9"/>
  <c r="X110" i="9"/>
  <c r="X121" i="9"/>
  <c r="X109" i="9"/>
  <c r="X78" i="9"/>
  <c r="X92" i="9"/>
  <c r="X108" i="9"/>
  <c r="X124" i="9"/>
  <c r="X99" i="9"/>
  <c r="X79" i="9"/>
  <c r="X107" i="9"/>
  <c r="X94" i="9"/>
  <c r="X89" i="9"/>
  <c r="X84" i="9"/>
  <c r="X113" i="9"/>
  <c r="X66" i="9"/>
  <c r="X126" i="9"/>
  <c r="X83" i="9"/>
  <c r="X129" i="9"/>
  <c r="X103" i="9"/>
  <c r="X100" i="9"/>
  <c r="X116" i="9"/>
  <c r="X10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C7" i="16"/>
  <c r="C8" i="16" s="1"/>
  <c r="C10" i="16" s="1"/>
  <c r="E6" i="8"/>
  <c r="D6" i="30" s="1"/>
  <c r="D30" i="8"/>
  <c r="C27" i="30" s="1"/>
  <c r="E11" i="24"/>
  <c r="L20" i="4"/>
  <c r="L15" i="4"/>
  <c r="L16" i="4"/>
  <c r="L19" i="4"/>
  <c r="L18" i="4"/>
  <c r="L17" i="4"/>
  <c r="L14" i="4"/>
  <c r="C66" i="13"/>
  <c r="D23" i="8"/>
  <c r="C20" i="30" s="1"/>
  <c r="C15" i="30"/>
  <c r="G30" i="8"/>
  <c r="F27" i="30" s="1"/>
  <c r="G15" i="8"/>
  <c r="F15" i="30" s="1"/>
  <c r="G23" i="8"/>
  <c r="F20" i="30" s="1"/>
  <c r="T66" i="9"/>
  <c r="T70" i="9"/>
  <c r="T74" i="9"/>
  <c r="T78" i="9"/>
  <c r="T82" i="9"/>
  <c r="T86" i="9"/>
  <c r="T90" i="9"/>
  <c r="T69" i="9"/>
  <c r="T73" i="9"/>
  <c r="T77" i="9"/>
  <c r="T81" i="9"/>
  <c r="T85" i="9"/>
  <c r="T89" i="9"/>
  <c r="T93" i="9"/>
  <c r="T97" i="9"/>
  <c r="T101" i="9"/>
  <c r="T105" i="9"/>
  <c r="T109" i="9"/>
  <c r="T113" i="9"/>
  <c r="T117" i="9"/>
  <c r="T121" i="9"/>
  <c r="T125" i="9"/>
  <c r="T129" i="9"/>
  <c r="T102" i="9"/>
  <c r="T114" i="9"/>
  <c r="T122" i="9"/>
  <c r="T5" i="9"/>
  <c r="T88" i="9"/>
  <c r="T92" i="9"/>
  <c r="T96" i="9"/>
  <c r="T100" i="9"/>
  <c r="T104" i="9"/>
  <c r="T108" i="9"/>
  <c r="T112" i="9"/>
  <c r="T116" i="9"/>
  <c r="T120" i="9"/>
  <c r="T124" i="9"/>
  <c r="T128" i="9"/>
  <c r="T98" i="9"/>
  <c r="T110" i="9"/>
  <c r="T126" i="9"/>
  <c r="T68" i="9"/>
  <c r="T72" i="9"/>
  <c r="T76" i="9"/>
  <c r="T80" i="9"/>
  <c r="T84" i="9"/>
  <c r="T67" i="9"/>
  <c r="T71" i="9"/>
  <c r="T75" i="9"/>
  <c r="T79" i="9"/>
  <c r="T83" i="9"/>
  <c r="T87" i="9"/>
  <c r="T91" i="9"/>
  <c r="T95" i="9"/>
  <c r="T99" i="9"/>
  <c r="T103" i="9"/>
  <c r="T107" i="9"/>
  <c r="T111" i="9"/>
  <c r="T115" i="9"/>
  <c r="T119" i="9"/>
  <c r="T123" i="9"/>
  <c r="T127" i="9"/>
  <c r="T94" i="9"/>
  <c r="T106" i="9"/>
  <c r="T118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I66" i="13"/>
  <c r="I67" i="33" s="1"/>
  <c r="J55" i="28"/>
  <c r="K55" i="28" s="1"/>
  <c r="C18" i="24"/>
  <c r="E30" i="8"/>
  <c r="D27" i="30" s="1"/>
  <c r="F6" i="8"/>
  <c r="F25" i="8" s="1"/>
  <c r="E22" i="30" s="1"/>
  <c r="D18" i="24"/>
  <c r="E18" i="24"/>
  <c r="F18" i="24"/>
  <c r="F7" i="24"/>
  <c r="G7" i="24"/>
  <c r="C7" i="24"/>
  <c r="D7" i="24"/>
  <c r="E7" i="24"/>
  <c r="H7" i="24"/>
  <c r="G18" i="24"/>
  <c r="P54" i="22"/>
  <c r="J55" i="22"/>
  <c r="L55" i="22" s="1"/>
  <c r="Q54" i="22"/>
  <c r="M54" i="23"/>
  <c r="R53" i="22"/>
  <c r="O54" i="22" s="1"/>
  <c r="F65" i="11"/>
  <c r="H65" i="11" s="1"/>
  <c r="C66" i="11"/>
  <c r="I30" i="8"/>
  <c r="H27" i="30" s="1"/>
  <c r="F30" i="8"/>
  <c r="E27" i="30" s="1"/>
  <c r="H30" i="8"/>
  <c r="G27" i="30" s="1"/>
  <c r="I25" i="8"/>
  <c r="H22" i="30" s="1"/>
  <c r="F65" i="14"/>
  <c r="C66" i="14"/>
  <c r="F66" i="14" s="1"/>
  <c r="I67" i="23"/>
  <c r="S7" i="9"/>
  <c r="S118" i="9"/>
  <c r="S127" i="9"/>
  <c r="S76" i="9"/>
  <c r="S90" i="9"/>
  <c r="S99" i="9"/>
  <c r="S77" i="9"/>
  <c r="S126" i="9"/>
  <c r="S123" i="9"/>
  <c r="S71" i="9"/>
  <c r="S100" i="9"/>
  <c r="S66" i="9"/>
  <c r="S87" i="9"/>
  <c r="S89" i="9"/>
  <c r="S6" i="9"/>
  <c r="S111" i="9"/>
  <c r="S83" i="9"/>
  <c r="S110" i="9"/>
  <c r="S91" i="9"/>
  <c r="S114" i="9"/>
  <c r="S124" i="9"/>
  <c r="S68" i="9"/>
  <c r="S70" i="9"/>
  <c r="S79" i="9"/>
  <c r="S92" i="9"/>
  <c r="S101" i="9"/>
  <c r="S106" i="9"/>
  <c r="S115" i="9"/>
  <c r="S97" i="9"/>
  <c r="S78" i="9"/>
  <c r="S72" i="9"/>
  <c r="S73" i="9"/>
  <c r="S103" i="9"/>
  <c r="S120" i="9"/>
  <c r="S121" i="9"/>
  <c r="S75" i="9"/>
  <c r="S84" i="9"/>
  <c r="S88" i="9"/>
  <c r="S109" i="9"/>
  <c r="S69" i="9"/>
  <c r="S5" i="9"/>
  <c r="S82" i="9"/>
  <c r="S129" i="9"/>
  <c r="S86" i="9"/>
  <c r="S95" i="9"/>
  <c r="S108" i="9"/>
  <c r="S93" i="9"/>
  <c r="S122" i="9"/>
  <c r="S67" i="9"/>
  <c r="S94" i="9"/>
  <c r="S98" i="9"/>
  <c r="S96" i="9"/>
  <c r="S85" i="9"/>
  <c r="S107" i="9"/>
  <c r="S104" i="9"/>
  <c r="S105" i="9"/>
  <c r="S128" i="9"/>
  <c r="S119" i="9"/>
  <c r="S125" i="9"/>
  <c r="S102" i="9"/>
  <c r="S113" i="9"/>
  <c r="S74" i="9"/>
  <c r="S81" i="9"/>
  <c r="S116" i="9"/>
  <c r="S80" i="9"/>
  <c r="S117" i="9"/>
  <c r="S112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P65" i="9"/>
  <c r="G19" i="8" l="1"/>
  <c r="H24" i="8"/>
  <c r="G21" i="30" s="1"/>
  <c r="E25" i="8"/>
  <c r="D22" i="30" s="1"/>
  <c r="G24" i="8"/>
  <c r="F21" i="30" s="1"/>
  <c r="D24" i="8"/>
  <c r="C21" i="30" s="1"/>
  <c r="E24" i="8"/>
  <c r="D21" i="30" s="1"/>
  <c r="D25" i="8"/>
  <c r="C22" i="30" s="1"/>
  <c r="F24" i="8"/>
  <c r="E21" i="30" s="1"/>
  <c r="J56" i="28"/>
  <c r="K56" i="28" s="1"/>
  <c r="M55" i="33"/>
  <c r="Z6" i="9"/>
  <c r="F23" i="8"/>
  <c r="E20" i="30" s="1"/>
  <c r="D19" i="8"/>
  <c r="E20" i="16"/>
  <c r="E29" i="16" s="1"/>
  <c r="E6" i="30"/>
  <c r="C67" i="21"/>
  <c r="C67" i="32" s="1"/>
  <c r="C66" i="32"/>
  <c r="D8" i="24"/>
  <c r="E18" i="16"/>
  <c r="D18" i="16"/>
  <c r="H8" i="24"/>
  <c r="I18" i="16"/>
  <c r="G8" i="24"/>
  <c r="H18" i="16"/>
  <c r="E8" i="24"/>
  <c r="F18" i="16"/>
  <c r="F8" i="24"/>
  <c r="G18" i="16"/>
  <c r="V46" i="9"/>
  <c r="J48" i="33" s="1"/>
  <c r="V49" i="9"/>
  <c r="J51" i="33" s="1"/>
  <c r="V43" i="9"/>
  <c r="J45" i="33" s="1"/>
  <c r="V59" i="9"/>
  <c r="V55" i="9"/>
  <c r="J57" i="33" s="1"/>
  <c r="V78" i="9"/>
  <c r="V71" i="9"/>
  <c r="V123" i="9"/>
  <c r="Z77" i="9"/>
  <c r="V7" i="9"/>
  <c r="V65" i="9"/>
  <c r="J67" i="33" s="1"/>
  <c r="V53" i="9"/>
  <c r="Z119" i="9"/>
  <c r="V56" i="9"/>
  <c r="V38" i="9"/>
  <c r="J40" i="33" s="1"/>
  <c r="V14" i="9"/>
  <c r="V70" i="9"/>
  <c r="Z80" i="9"/>
  <c r="Z120" i="9"/>
  <c r="Z74" i="9"/>
  <c r="V22" i="9"/>
  <c r="V86" i="9"/>
  <c r="V57" i="9"/>
  <c r="V29" i="9"/>
  <c r="J31" i="33" s="1"/>
  <c r="V25" i="9"/>
  <c r="V17" i="9"/>
  <c r="J19" i="33" s="1"/>
  <c r="V120" i="9"/>
  <c r="V83" i="9"/>
  <c r="V111" i="9"/>
  <c r="Z63" i="9"/>
  <c r="Z59" i="9"/>
  <c r="Z56" i="9"/>
  <c r="Z55" i="9"/>
  <c r="Z47" i="9"/>
  <c r="Z43" i="9"/>
  <c r="Z35" i="9"/>
  <c r="Z31" i="9"/>
  <c r="Z28" i="9"/>
  <c r="Z27" i="9"/>
  <c r="Z23" i="9"/>
  <c r="Z20" i="9"/>
  <c r="Z16" i="9"/>
  <c r="Z12" i="9"/>
  <c r="Z11" i="9"/>
  <c r="Z10" i="9"/>
  <c r="Z8" i="9"/>
  <c r="Z96" i="9"/>
  <c r="Z5" i="9"/>
  <c r="Z87" i="9"/>
  <c r="Z71" i="9"/>
  <c r="Z104" i="9"/>
  <c r="Z81" i="9"/>
  <c r="Z67" i="9"/>
  <c r="Z100" i="9"/>
  <c r="Z70" i="9"/>
  <c r="Z117" i="9"/>
  <c r="Z39" i="9"/>
  <c r="Z68" i="9"/>
  <c r="V21" i="9"/>
  <c r="V118" i="9"/>
  <c r="Z65" i="9"/>
  <c r="Z64" i="9"/>
  <c r="Z62" i="9"/>
  <c r="Z57" i="9"/>
  <c r="Z53" i="9"/>
  <c r="Z41" i="9"/>
  <c r="Z40" i="9"/>
  <c r="Z38" i="9"/>
  <c r="Z37" i="9"/>
  <c r="Z25" i="9"/>
  <c r="Z21" i="9"/>
  <c r="Z19" i="9"/>
  <c r="Z17" i="9"/>
  <c r="Z15" i="9"/>
  <c r="Z9" i="9"/>
  <c r="Z93" i="9"/>
  <c r="Z88" i="9"/>
  <c r="Z114" i="9"/>
  <c r="Z92" i="9"/>
  <c r="Z126" i="9"/>
  <c r="Z94" i="9"/>
  <c r="Z103" i="9"/>
  <c r="Z75" i="9"/>
  <c r="Z109" i="9"/>
  <c r="Z51" i="9"/>
  <c r="Z121" i="9"/>
  <c r="Z99" i="9"/>
  <c r="Z102" i="9"/>
  <c r="V35" i="9"/>
  <c r="V18" i="9"/>
  <c r="J20" i="33" s="1"/>
  <c r="Z45" i="9"/>
  <c r="Z7" i="9"/>
  <c r="Z122" i="9"/>
  <c r="Z66" i="9"/>
  <c r="Z98" i="9"/>
  <c r="Z116" i="9"/>
  <c r="Z84" i="9"/>
  <c r="Z125" i="9"/>
  <c r="Z97" i="9"/>
  <c r="Z124" i="9"/>
  <c r="Z113" i="9"/>
  <c r="Z118" i="9"/>
  <c r="Z86" i="9"/>
  <c r="Z107" i="9"/>
  <c r="Z69" i="9"/>
  <c r="Z79" i="9"/>
  <c r="Z123" i="9"/>
  <c r="Z85" i="9"/>
  <c r="Z111" i="9"/>
  <c r="Z127" i="9"/>
  <c r="V64" i="9"/>
  <c r="V50" i="9"/>
  <c r="V41" i="9"/>
  <c r="J43" i="33" s="1"/>
  <c r="V84" i="9"/>
  <c r="V68" i="9"/>
  <c r="V63" i="9"/>
  <c r="V40" i="9"/>
  <c r="J42" i="33" s="1"/>
  <c r="V10" i="9"/>
  <c r="J12" i="33" s="1"/>
  <c r="V8" i="9"/>
  <c r="J10" i="33" s="1"/>
  <c r="V66" i="9"/>
  <c r="V94" i="9"/>
  <c r="V115" i="9"/>
  <c r="Z61" i="9"/>
  <c r="Z60" i="9"/>
  <c r="Z58" i="9"/>
  <c r="Z54" i="9"/>
  <c r="Z52" i="9"/>
  <c r="Z50" i="9"/>
  <c r="Z49" i="9"/>
  <c r="Z48" i="9"/>
  <c r="Z46" i="9"/>
  <c r="Z44" i="9"/>
  <c r="Z42" i="9"/>
  <c r="Z36" i="9"/>
  <c r="Z34" i="9"/>
  <c r="Z33" i="9"/>
  <c r="Z32" i="9"/>
  <c r="Z30" i="9"/>
  <c r="Z29" i="9"/>
  <c r="Z26" i="9"/>
  <c r="Z24" i="9"/>
  <c r="Z22" i="9"/>
  <c r="Z18" i="9"/>
  <c r="Z14" i="9"/>
  <c r="Z13" i="9"/>
  <c r="Z83" i="9"/>
  <c r="Z106" i="9"/>
  <c r="Z115" i="9"/>
  <c r="Z112" i="9"/>
  <c r="Z105" i="9"/>
  <c r="Z91" i="9"/>
  <c r="Z128" i="9"/>
  <c r="Z90" i="9"/>
  <c r="Z129" i="9"/>
  <c r="Z82" i="9"/>
  <c r="Z95" i="9"/>
  <c r="Z108" i="9"/>
  <c r="Z76" i="9"/>
  <c r="Z101" i="9"/>
  <c r="Z73" i="9"/>
  <c r="Z110" i="9"/>
  <c r="Z78" i="9"/>
  <c r="Z72" i="9"/>
  <c r="Z89" i="9"/>
  <c r="H18" i="24"/>
  <c r="F19" i="8"/>
  <c r="E23" i="8"/>
  <c r="D20" i="30" s="1"/>
  <c r="M55" i="22"/>
  <c r="P55" i="22" s="1"/>
  <c r="M56" i="33" s="1"/>
  <c r="V114" i="9"/>
  <c r="V82" i="9"/>
  <c r="V62" i="9"/>
  <c r="V61" i="9"/>
  <c r="V58" i="9"/>
  <c r="V51" i="9"/>
  <c r="V47" i="9"/>
  <c r="V39" i="9"/>
  <c r="V37" i="9"/>
  <c r="J39" i="33" s="1"/>
  <c r="V34" i="9"/>
  <c r="V31" i="9"/>
  <c r="V30" i="9"/>
  <c r="V27" i="9"/>
  <c r="V26" i="9"/>
  <c r="V19" i="9"/>
  <c r="J21" i="33" s="1"/>
  <c r="V15" i="9"/>
  <c r="V106" i="9"/>
  <c r="V95" i="9"/>
  <c r="V92" i="9"/>
  <c r="V90" i="9"/>
  <c r="V85" i="9"/>
  <c r="V105" i="9"/>
  <c r="V100" i="9"/>
  <c r="V93" i="9"/>
  <c r="V97" i="9"/>
  <c r="V112" i="9"/>
  <c r="V119" i="9"/>
  <c r="V116" i="9"/>
  <c r="V88" i="9"/>
  <c r="V124" i="9"/>
  <c r="V126" i="9"/>
  <c r="V6" i="9"/>
  <c r="J8" i="33" s="1"/>
  <c r="V69" i="9"/>
  <c r="V54" i="9"/>
  <c r="V48" i="9"/>
  <c r="V42" i="9"/>
  <c r="V32" i="9"/>
  <c r="J34" i="33" s="1"/>
  <c r="V24" i="9"/>
  <c r="V12" i="9"/>
  <c r="V104" i="9"/>
  <c r="V121" i="9"/>
  <c r="V122" i="9"/>
  <c r="V129" i="9"/>
  <c r="V125" i="9"/>
  <c r="V77" i="9"/>
  <c r="V79" i="9"/>
  <c r="V74" i="9"/>
  <c r="V73" i="9"/>
  <c r="V67" i="9"/>
  <c r="V110" i="9"/>
  <c r="V75" i="9"/>
  <c r="V127" i="9"/>
  <c r="V89" i="9"/>
  <c r="V103" i="9"/>
  <c r="V98" i="9"/>
  <c r="V128" i="9"/>
  <c r="V5" i="9"/>
  <c r="V117" i="9"/>
  <c r="V60" i="9"/>
  <c r="V52" i="9"/>
  <c r="V45" i="9"/>
  <c r="J47" i="33" s="1"/>
  <c r="V44" i="9"/>
  <c r="J46" i="33" s="1"/>
  <c r="V36" i="9"/>
  <c r="V33" i="9"/>
  <c r="V28" i="9"/>
  <c r="J30" i="33" s="1"/>
  <c r="V23" i="9"/>
  <c r="V20" i="9"/>
  <c r="V16" i="9"/>
  <c r="V13" i="9"/>
  <c r="V11" i="9"/>
  <c r="J13" i="23" s="1"/>
  <c r="V9" i="9"/>
  <c r="V102" i="9"/>
  <c r="V81" i="9"/>
  <c r="V96" i="9"/>
  <c r="V91" i="9"/>
  <c r="V87" i="9"/>
  <c r="V72" i="9"/>
  <c r="V108" i="9"/>
  <c r="V101" i="9"/>
  <c r="V99" i="9"/>
  <c r="V76" i="9"/>
  <c r="V80" i="9"/>
  <c r="V107" i="9"/>
  <c r="V109" i="9"/>
  <c r="V113" i="9"/>
  <c r="I8" i="11"/>
  <c r="O8" i="11" s="1"/>
  <c r="T8" i="11" s="1"/>
  <c r="E19" i="8"/>
  <c r="H23" i="8"/>
  <c r="G20" i="30" s="1"/>
  <c r="H19" i="8"/>
  <c r="R54" i="22"/>
  <c r="O55" i="22" s="1"/>
  <c r="Q55" i="22"/>
  <c r="M55" i="23"/>
  <c r="F66" i="11"/>
  <c r="H66" i="11" s="1"/>
  <c r="C67" i="11"/>
  <c r="F67" i="11" s="1"/>
  <c r="H67" i="11" s="1"/>
  <c r="I67" i="11" s="1"/>
  <c r="I24" i="8"/>
  <c r="H21" i="30" s="1"/>
  <c r="I23" i="8"/>
  <c r="H20" i="30" s="1"/>
  <c r="I19" i="8"/>
  <c r="H58" i="21"/>
  <c r="H60" i="21"/>
  <c r="H55" i="21"/>
  <c r="H48" i="21"/>
  <c r="H63" i="21"/>
  <c r="H53" i="21"/>
  <c r="H67" i="21"/>
  <c r="H65" i="21"/>
  <c r="H44" i="21"/>
  <c r="H52" i="21"/>
  <c r="H54" i="21"/>
  <c r="H46" i="21"/>
  <c r="H57" i="21"/>
  <c r="H45" i="21"/>
  <c r="H49" i="21"/>
  <c r="H51" i="21"/>
  <c r="H62" i="21"/>
  <c r="H66" i="21"/>
  <c r="H64" i="21"/>
  <c r="H56" i="21"/>
  <c r="H61" i="21"/>
  <c r="H50" i="21"/>
  <c r="H59" i="21"/>
  <c r="H47" i="21"/>
  <c r="I58" i="11"/>
  <c r="I57" i="11"/>
  <c r="I55" i="11"/>
  <c r="I54" i="11"/>
  <c r="I51" i="11"/>
  <c r="I49" i="11"/>
  <c r="I43" i="11"/>
  <c r="I42" i="11"/>
  <c r="I34" i="11"/>
  <c r="I26" i="11"/>
  <c r="I22" i="11"/>
  <c r="I18" i="11"/>
  <c r="I14" i="11"/>
  <c r="I13" i="11"/>
  <c r="I59" i="11"/>
  <c r="I50" i="11"/>
  <c r="I47" i="11"/>
  <c r="I46" i="11"/>
  <c r="I44" i="11"/>
  <c r="I40" i="11"/>
  <c r="I39" i="11"/>
  <c r="I38" i="11"/>
  <c r="I35" i="11"/>
  <c r="I31" i="11"/>
  <c r="I27" i="11"/>
  <c r="I20" i="11"/>
  <c r="I64" i="11"/>
  <c r="I63" i="11"/>
  <c r="I61" i="11"/>
  <c r="I60" i="11"/>
  <c r="I56" i="11"/>
  <c r="I53" i="11"/>
  <c r="I36" i="11"/>
  <c r="I33" i="11"/>
  <c r="I29" i="11"/>
  <c r="I24" i="11"/>
  <c r="I23" i="11"/>
  <c r="I19" i="11"/>
  <c r="I16" i="11"/>
  <c r="I15" i="11"/>
  <c r="I12" i="11"/>
  <c r="I11" i="11"/>
  <c r="I7" i="11"/>
  <c r="I9" i="11"/>
  <c r="I66" i="11"/>
  <c r="I65" i="11"/>
  <c r="I62" i="11"/>
  <c r="I52" i="11"/>
  <c r="I48" i="11"/>
  <c r="I45" i="11"/>
  <c r="I41" i="11"/>
  <c r="I37" i="11"/>
  <c r="I32" i="11"/>
  <c r="I30" i="11"/>
  <c r="I28" i="11"/>
  <c r="I25" i="11"/>
  <c r="I21" i="11"/>
  <c r="I17" i="11"/>
  <c r="I10" i="11"/>
  <c r="J45" i="23"/>
  <c r="J34" i="23"/>
  <c r="H46" i="32" l="1"/>
  <c r="H48" i="32"/>
  <c r="H59" i="32"/>
  <c r="H64" i="32"/>
  <c r="H49" i="32"/>
  <c r="H54" i="32"/>
  <c r="H67" i="32"/>
  <c r="H55" i="32"/>
  <c r="H56" i="32"/>
  <c r="H50" i="32"/>
  <c r="H66" i="32"/>
  <c r="H45" i="32"/>
  <c r="H52" i="32"/>
  <c r="H53" i="32"/>
  <c r="H60" i="32"/>
  <c r="H51" i="32"/>
  <c r="H61" i="32"/>
  <c r="H62" i="32"/>
  <c r="H57" i="32"/>
  <c r="H44" i="32"/>
  <c r="H63" i="32"/>
  <c r="H58" i="32"/>
  <c r="H47" i="32"/>
  <c r="H65" i="32"/>
  <c r="D22" i="8"/>
  <c r="C19" i="30" s="1"/>
  <c r="F22" i="8"/>
  <c r="E19" i="30" s="1"/>
  <c r="J47" i="23"/>
  <c r="J20" i="23"/>
  <c r="E9" i="31"/>
  <c r="F9" i="31"/>
  <c r="G9" i="31"/>
  <c r="H9" i="31"/>
  <c r="I9" i="31"/>
  <c r="J30" i="23"/>
  <c r="J31" i="23"/>
  <c r="J67" i="23"/>
  <c r="J40" i="23"/>
  <c r="J43" i="23"/>
  <c r="J46" i="23"/>
  <c r="J42" i="23"/>
  <c r="J51" i="23"/>
  <c r="J19" i="23"/>
  <c r="J57" i="23"/>
  <c r="J39" i="23"/>
  <c r="J11" i="23"/>
  <c r="J11" i="33"/>
  <c r="J22" i="23"/>
  <c r="J22" i="33"/>
  <c r="J38" i="23"/>
  <c r="J38" i="33"/>
  <c r="J62" i="23"/>
  <c r="J62" i="33"/>
  <c r="J13" i="33"/>
  <c r="J14" i="23"/>
  <c r="J14" i="33"/>
  <c r="J50" i="23"/>
  <c r="J50" i="33"/>
  <c r="J33" i="23"/>
  <c r="J33" i="33"/>
  <c r="J49" i="23"/>
  <c r="J49" i="33"/>
  <c r="J64" i="23"/>
  <c r="J64" i="33"/>
  <c r="J66" i="23"/>
  <c r="H19" i="24" s="1"/>
  <c r="J66" i="33"/>
  <c r="J23" i="23"/>
  <c r="J23" i="33"/>
  <c r="J16" i="23"/>
  <c r="J16" i="33"/>
  <c r="J55" i="23"/>
  <c r="J55" i="33"/>
  <c r="J61" i="23"/>
  <c r="J61" i="33"/>
  <c r="J18" i="23"/>
  <c r="J18" i="33"/>
  <c r="J35" i="23"/>
  <c r="J35" i="33"/>
  <c r="J54" i="23"/>
  <c r="J54" i="33"/>
  <c r="J44" i="23"/>
  <c r="J44" i="33"/>
  <c r="J17" i="23"/>
  <c r="J17" i="33"/>
  <c r="J32" i="23"/>
  <c r="J32" i="33"/>
  <c r="J41" i="23"/>
  <c r="J41" i="33"/>
  <c r="J63" i="23"/>
  <c r="J63" i="33"/>
  <c r="J65" i="23"/>
  <c r="J65" i="33"/>
  <c r="J24" i="23"/>
  <c r="J24" i="33"/>
  <c r="J48" i="23"/>
  <c r="J25" i="23"/>
  <c r="J25" i="33"/>
  <c r="J26" i="23"/>
  <c r="J26" i="33"/>
  <c r="J56" i="23"/>
  <c r="J56" i="33"/>
  <c r="J28" i="23"/>
  <c r="J28" i="33"/>
  <c r="J36" i="23"/>
  <c r="J36" i="33"/>
  <c r="J53" i="23"/>
  <c r="J53" i="33"/>
  <c r="F20" i="16"/>
  <c r="F29" i="16" s="1"/>
  <c r="J59" i="23"/>
  <c r="J59" i="33"/>
  <c r="J52" i="23"/>
  <c r="J52" i="33"/>
  <c r="J27" i="23"/>
  <c r="J27" i="33"/>
  <c r="J15" i="23"/>
  <c r="J15" i="33"/>
  <c r="J29" i="23"/>
  <c r="J29" i="33"/>
  <c r="J60" i="23"/>
  <c r="J60" i="33"/>
  <c r="J37" i="23"/>
  <c r="J37" i="33"/>
  <c r="J58" i="23"/>
  <c r="J58" i="33"/>
  <c r="J9" i="23"/>
  <c r="J9" i="33"/>
  <c r="J56" i="22"/>
  <c r="M56" i="22" s="1"/>
  <c r="J57" i="22" s="1"/>
  <c r="M57" i="22" s="1"/>
  <c r="J58" i="22" s="1"/>
  <c r="M58" i="22" s="1"/>
  <c r="J59" i="22" s="1"/>
  <c r="M59" i="22" s="1"/>
  <c r="J60" i="22" s="1"/>
  <c r="M60" i="22" s="1"/>
  <c r="J61" i="22" s="1"/>
  <c r="M61" i="22" s="1"/>
  <c r="J62" i="22" s="1"/>
  <c r="M62" i="22" s="1"/>
  <c r="J63" i="22" s="1"/>
  <c r="M63" i="22" s="1"/>
  <c r="J64" i="22" s="1"/>
  <c r="M64" i="22" s="1"/>
  <c r="J65" i="22" s="1"/>
  <c r="M65" i="22" s="1"/>
  <c r="J66" i="22" s="1"/>
  <c r="M66" i="22" s="1"/>
  <c r="E22" i="8"/>
  <c r="D19" i="30" s="1"/>
  <c r="G20" i="8"/>
  <c r="J21" i="23"/>
  <c r="J8" i="23"/>
  <c r="D20" i="8"/>
  <c r="J57" i="28"/>
  <c r="K57" i="28" s="1"/>
  <c r="D21" i="24"/>
  <c r="E21" i="24"/>
  <c r="F21" i="24"/>
  <c r="G21" i="24"/>
  <c r="G51" i="11"/>
  <c r="G21" i="11"/>
  <c r="G61" i="11"/>
  <c r="G57" i="11"/>
  <c r="G13" i="11"/>
  <c r="G60" i="11"/>
  <c r="G31" i="11"/>
  <c r="G47" i="11"/>
  <c r="G63" i="11"/>
  <c r="G16" i="11"/>
  <c r="G20" i="11"/>
  <c r="G25" i="11"/>
  <c r="G28" i="11"/>
  <c r="G38" i="11"/>
  <c r="G39" i="11"/>
  <c r="G52" i="11"/>
  <c r="G65" i="11"/>
  <c r="J10" i="23"/>
  <c r="J12" i="23"/>
  <c r="R55" i="22"/>
  <c r="O56" i="22" s="1"/>
  <c r="Q56" i="22"/>
  <c r="G25" i="8" s="1"/>
  <c r="M56" i="23"/>
  <c r="G32" i="11"/>
  <c r="G48" i="11"/>
  <c r="G62" i="11"/>
  <c r="G11" i="11"/>
  <c r="G15" i="11"/>
  <c r="G19" i="11"/>
  <c r="G8" i="11"/>
  <c r="G22" i="11"/>
  <c r="G43" i="11"/>
  <c r="G55" i="11"/>
  <c r="G36" i="11"/>
  <c r="G56" i="11"/>
  <c r="G64" i="11"/>
  <c r="G27" i="11"/>
  <c r="G35" i="11"/>
  <c r="G44" i="11"/>
  <c r="G59" i="11"/>
  <c r="G14" i="11"/>
  <c r="G34" i="11"/>
  <c r="G58" i="11"/>
  <c r="G17" i="11"/>
  <c r="G12" i="11"/>
  <c r="G23" i="11"/>
  <c r="G18" i="11"/>
  <c r="G42" i="11"/>
  <c r="G54" i="11"/>
  <c r="G10" i="11"/>
  <c r="G41" i="11"/>
  <c r="G9" i="11"/>
  <c r="G33" i="11"/>
  <c r="G53" i="11"/>
  <c r="G46" i="11"/>
  <c r="G50" i="11"/>
  <c r="G7" i="11"/>
  <c r="I20" i="8"/>
  <c r="I22" i="8"/>
  <c r="H19" i="30" s="1"/>
  <c r="C21" i="16"/>
  <c r="E15" i="8"/>
  <c r="D15" i="30" s="1"/>
  <c r="H20" i="8"/>
  <c r="E20" i="8"/>
  <c r="I33" i="21"/>
  <c r="I33" i="32" s="1"/>
  <c r="I37" i="21"/>
  <c r="I37" i="32" s="1"/>
  <c r="I41" i="21"/>
  <c r="I41" i="32" s="1"/>
  <c r="I45" i="21"/>
  <c r="I45" i="32" s="1"/>
  <c r="I49" i="21"/>
  <c r="I49" i="32" s="1"/>
  <c r="I53" i="21"/>
  <c r="I53" i="32" s="1"/>
  <c r="I57" i="21"/>
  <c r="I57" i="32" s="1"/>
  <c r="I61" i="21"/>
  <c r="I61" i="32" s="1"/>
  <c r="I65" i="21"/>
  <c r="I65" i="32" s="1"/>
  <c r="I9" i="21"/>
  <c r="I9" i="32" s="1"/>
  <c r="I13" i="21"/>
  <c r="I13" i="32" s="1"/>
  <c r="I17" i="21"/>
  <c r="I17" i="32" s="1"/>
  <c r="I21" i="21"/>
  <c r="I21" i="32" s="1"/>
  <c r="I25" i="21"/>
  <c r="I25" i="32" s="1"/>
  <c r="I29" i="21"/>
  <c r="I29" i="32" s="1"/>
  <c r="I30" i="21"/>
  <c r="I30" i="32" s="1"/>
  <c r="I34" i="21"/>
  <c r="I34" i="32" s="1"/>
  <c r="I38" i="21"/>
  <c r="I38" i="32" s="1"/>
  <c r="I42" i="21"/>
  <c r="I42" i="32" s="1"/>
  <c r="I46" i="21"/>
  <c r="I46" i="32" s="1"/>
  <c r="I50" i="21"/>
  <c r="I50" i="32" s="1"/>
  <c r="I54" i="21"/>
  <c r="I54" i="32" s="1"/>
  <c r="I58" i="21"/>
  <c r="I58" i="32" s="1"/>
  <c r="I62" i="21"/>
  <c r="I62" i="32" s="1"/>
  <c r="I66" i="21"/>
  <c r="I66" i="32" s="1"/>
  <c r="I10" i="21"/>
  <c r="I10" i="32" s="1"/>
  <c r="I14" i="21"/>
  <c r="I14" i="32" s="1"/>
  <c r="I18" i="21"/>
  <c r="I18" i="32" s="1"/>
  <c r="I22" i="21"/>
  <c r="I22" i="32" s="1"/>
  <c r="I26" i="21"/>
  <c r="I26" i="32" s="1"/>
  <c r="I7" i="21"/>
  <c r="I31" i="21"/>
  <c r="I31" i="32" s="1"/>
  <c r="I35" i="21"/>
  <c r="I35" i="32" s="1"/>
  <c r="I39" i="21"/>
  <c r="I39" i="32" s="1"/>
  <c r="I43" i="21"/>
  <c r="I43" i="32" s="1"/>
  <c r="I47" i="21"/>
  <c r="I47" i="32" s="1"/>
  <c r="I51" i="21"/>
  <c r="I51" i="32" s="1"/>
  <c r="I55" i="21"/>
  <c r="I55" i="32" s="1"/>
  <c r="I59" i="21"/>
  <c r="I59" i="32" s="1"/>
  <c r="I63" i="21"/>
  <c r="I63" i="32" s="1"/>
  <c r="I67" i="21"/>
  <c r="I67" i="32" s="1"/>
  <c r="I11" i="21"/>
  <c r="I11" i="32" s="1"/>
  <c r="I15" i="21"/>
  <c r="I15" i="32" s="1"/>
  <c r="I19" i="21"/>
  <c r="I19" i="32" s="1"/>
  <c r="I23" i="21"/>
  <c r="I23" i="32" s="1"/>
  <c r="I27" i="21"/>
  <c r="I27" i="32" s="1"/>
  <c r="I32" i="21"/>
  <c r="I32" i="32" s="1"/>
  <c r="I36" i="21"/>
  <c r="I36" i="32" s="1"/>
  <c r="I40" i="21"/>
  <c r="I40" i="32" s="1"/>
  <c r="I44" i="21"/>
  <c r="I44" i="32" s="1"/>
  <c r="I48" i="21"/>
  <c r="I48" i="32" s="1"/>
  <c r="I52" i="21"/>
  <c r="I52" i="32" s="1"/>
  <c r="I56" i="21"/>
  <c r="I56" i="32" s="1"/>
  <c r="I60" i="21"/>
  <c r="I60" i="32" s="1"/>
  <c r="I64" i="21"/>
  <c r="I64" i="32" s="1"/>
  <c r="I8" i="21"/>
  <c r="I8" i="32" s="1"/>
  <c r="I12" i="21"/>
  <c r="I12" i="32" s="1"/>
  <c r="I16" i="21"/>
  <c r="I16" i="32" s="1"/>
  <c r="I20" i="21"/>
  <c r="I20" i="32" s="1"/>
  <c r="I24" i="21"/>
  <c r="I24" i="32" s="1"/>
  <c r="I28" i="21"/>
  <c r="I28" i="32" s="1"/>
  <c r="F20" i="8"/>
  <c r="O65" i="11"/>
  <c r="S65" i="11"/>
  <c r="P65" i="11"/>
  <c r="Q65" i="11"/>
  <c r="R65" i="11"/>
  <c r="Q36" i="11"/>
  <c r="P36" i="11"/>
  <c r="S36" i="11"/>
  <c r="U44" i="11" s="1"/>
  <c r="R36" i="11"/>
  <c r="O36" i="11"/>
  <c r="P8" i="11"/>
  <c r="Q8" i="11"/>
  <c r="S8" i="11"/>
  <c r="U16" i="11" s="1"/>
  <c r="R8" i="11"/>
  <c r="R7" i="11"/>
  <c r="S7" i="11"/>
  <c r="U15" i="11" s="1"/>
  <c r="P7" i="11"/>
  <c r="O7" i="11"/>
  <c r="T7" i="11" s="1"/>
  <c r="Q7" i="11"/>
  <c r="O17" i="11"/>
  <c r="S17" i="11"/>
  <c r="U25" i="11" s="1"/>
  <c r="P17" i="11"/>
  <c r="R17" i="11"/>
  <c r="Q17" i="11"/>
  <c r="O20" i="11"/>
  <c r="S20" i="11"/>
  <c r="U28" i="11" s="1"/>
  <c r="P20" i="11"/>
  <c r="Q20" i="11"/>
  <c r="R20" i="11"/>
  <c r="O23" i="11"/>
  <c r="S23" i="11"/>
  <c r="U31" i="11" s="1"/>
  <c r="P23" i="11"/>
  <c r="R23" i="11"/>
  <c r="Q23" i="11"/>
  <c r="R35" i="11"/>
  <c r="O35" i="11"/>
  <c r="S35" i="11"/>
  <c r="U43" i="11" s="1"/>
  <c r="P35" i="11"/>
  <c r="Q35" i="11"/>
  <c r="O42" i="11"/>
  <c r="S42" i="11"/>
  <c r="U50" i="11" s="1"/>
  <c r="P42" i="11"/>
  <c r="Q42" i="11"/>
  <c r="R42" i="11"/>
  <c r="P16" i="11"/>
  <c r="Q16" i="11"/>
  <c r="O16" i="11"/>
  <c r="R16" i="11"/>
  <c r="S16" i="11"/>
  <c r="U24" i="11" s="1"/>
  <c r="Q25" i="11"/>
  <c r="R25" i="11"/>
  <c r="P25" i="11"/>
  <c r="S25" i="11"/>
  <c r="U33" i="11" s="1"/>
  <c r="O25" i="11"/>
  <c r="O27" i="11"/>
  <c r="S27" i="11"/>
  <c r="U35" i="11" s="1"/>
  <c r="Q27" i="11"/>
  <c r="R27" i="11"/>
  <c r="P27" i="11"/>
  <c r="P33" i="11"/>
  <c r="Q33" i="11"/>
  <c r="R33" i="11"/>
  <c r="S33" i="11"/>
  <c r="U41" i="11" s="1"/>
  <c r="O33" i="11"/>
  <c r="O49" i="11"/>
  <c r="S49" i="11"/>
  <c r="U57" i="11" s="1"/>
  <c r="P49" i="11"/>
  <c r="Q49" i="11"/>
  <c r="R49" i="11"/>
  <c r="R62" i="11"/>
  <c r="O62" i="11"/>
  <c r="S62" i="11"/>
  <c r="P62" i="11"/>
  <c r="Q62" i="11"/>
  <c r="O29" i="11"/>
  <c r="S29" i="11"/>
  <c r="U37" i="11" s="1"/>
  <c r="P29" i="11"/>
  <c r="Q29" i="11"/>
  <c r="R29" i="11"/>
  <c r="R10" i="11"/>
  <c r="O10" i="11"/>
  <c r="S10" i="11"/>
  <c r="U18" i="11" s="1"/>
  <c r="Q10" i="11"/>
  <c r="P10" i="11"/>
  <c r="R24" i="11"/>
  <c r="O24" i="11"/>
  <c r="S24" i="11"/>
  <c r="U32" i="11" s="1"/>
  <c r="P24" i="11"/>
  <c r="Q24" i="11"/>
  <c r="R39" i="11"/>
  <c r="O39" i="11"/>
  <c r="S39" i="11"/>
  <c r="U47" i="11" s="1"/>
  <c r="P39" i="11"/>
  <c r="Q39" i="11"/>
  <c r="Q51" i="11"/>
  <c r="R51" i="11"/>
  <c r="O51" i="11"/>
  <c r="P51" i="11"/>
  <c r="S51" i="11"/>
  <c r="U59" i="11" s="1"/>
  <c r="P55" i="11"/>
  <c r="Q55" i="11"/>
  <c r="O55" i="11"/>
  <c r="R55" i="11"/>
  <c r="S55" i="11"/>
  <c r="U63" i="11" s="1"/>
  <c r="Q63" i="11"/>
  <c r="R63" i="11"/>
  <c r="O63" i="11"/>
  <c r="S63" i="11"/>
  <c r="P63" i="11"/>
  <c r="O9" i="11"/>
  <c r="S9" i="11"/>
  <c r="P9" i="11"/>
  <c r="Q9" i="11"/>
  <c r="R9" i="11"/>
  <c r="R14" i="11"/>
  <c r="O14" i="11"/>
  <c r="S14" i="11"/>
  <c r="U22" i="11" s="1"/>
  <c r="Q14" i="11"/>
  <c r="P14" i="11"/>
  <c r="Q44" i="11"/>
  <c r="P44" i="11"/>
  <c r="S44" i="11"/>
  <c r="U52" i="11" s="1"/>
  <c r="O44" i="11"/>
  <c r="R44" i="11"/>
  <c r="P52" i="11"/>
  <c r="Q52" i="11"/>
  <c r="R52" i="11"/>
  <c r="S52" i="11"/>
  <c r="U60" i="11" s="1"/>
  <c r="O52" i="11"/>
  <c r="R47" i="11"/>
  <c r="O47" i="11"/>
  <c r="S47" i="11"/>
  <c r="U55" i="11" s="1"/>
  <c r="P47" i="11"/>
  <c r="Q47" i="11"/>
  <c r="P58" i="11"/>
  <c r="O58" i="11"/>
  <c r="S58" i="11"/>
  <c r="U66" i="11" s="1"/>
  <c r="Q58" i="11"/>
  <c r="R58" i="11"/>
  <c r="P54" i="11"/>
  <c r="O54" i="11"/>
  <c r="S54" i="11"/>
  <c r="U62" i="11" s="1"/>
  <c r="R54" i="11"/>
  <c r="Q54" i="11"/>
  <c r="O46" i="11"/>
  <c r="S46" i="11"/>
  <c r="U54" i="11" s="1"/>
  <c r="P46" i="11"/>
  <c r="Q46" i="11"/>
  <c r="R46" i="11"/>
  <c r="R50" i="11"/>
  <c r="O50" i="11"/>
  <c r="S50" i="11"/>
  <c r="U58" i="11" s="1"/>
  <c r="P50" i="11"/>
  <c r="Q50" i="11"/>
  <c r="Q64" i="11"/>
  <c r="P64" i="11"/>
  <c r="S64" i="11"/>
  <c r="O64" i="11"/>
  <c r="R64" i="11"/>
  <c r="R66" i="11"/>
  <c r="O66" i="11"/>
  <c r="S66" i="11"/>
  <c r="P66" i="11"/>
  <c r="Q66" i="11"/>
  <c r="O61" i="11"/>
  <c r="S61" i="11"/>
  <c r="P61" i="11"/>
  <c r="Q61" i="11"/>
  <c r="R61" i="11"/>
  <c r="O34" i="11"/>
  <c r="S34" i="11"/>
  <c r="U42" i="11" s="1"/>
  <c r="P34" i="11"/>
  <c r="Q34" i="11"/>
  <c r="R34" i="11"/>
  <c r="Q40" i="11"/>
  <c r="P40" i="11"/>
  <c r="O40" i="11"/>
  <c r="R40" i="11"/>
  <c r="S40" i="11"/>
  <c r="U48" i="11" s="1"/>
  <c r="O59" i="11"/>
  <c r="S59" i="11"/>
  <c r="U67" i="11" s="1"/>
  <c r="P59" i="11"/>
  <c r="Q59" i="11"/>
  <c r="R59" i="11"/>
  <c r="P45" i="11"/>
  <c r="Q45" i="11"/>
  <c r="R45" i="11"/>
  <c r="S45" i="11"/>
  <c r="U53" i="11" s="1"/>
  <c r="O45" i="11"/>
  <c r="O56" i="11"/>
  <c r="S56" i="11"/>
  <c r="U64" i="11" s="1"/>
  <c r="P56" i="11"/>
  <c r="Q56" i="11"/>
  <c r="R56" i="11"/>
  <c r="Q32" i="11"/>
  <c r="R32" i="11"/>
  <c r="O32" i="11"/>
  <c r="P32" i="11"/>
  <c r="S32" i="11"/>
  <c r="U40" i="11" s="1"/>
  <c r="Q15" i="11"/>
  <c r="R15" i="11"/>
  <c r="O15" i="11"/>
  <c r="P15" i="11"/>
  <c r="S15" i="11"/>
  <c r="U23" i="11" s="1"/>
  <c r="P19" i="11"/>
  <c r="Q19" i="11"/>
  <c r="S19" i="11"/>
  <c r="U27" i="11" s="1"/>
  <c r="O19" i="11"/>
  <c r="R19" i="11"/>
  <c r="P22" i="11"/>
  <c r="O22" i="11"/>
  <c r="S22" i="11"/>
  <c r="U30" i="11" s="1"/>
  <c r="R22" i="11"/>
  <c r="Q22" i="11"/>
  <c r="R31" i="11"/>
  <c r="O31" i="11"/>
  <c r="S31" i="11"/>
  <c r="U39" i="11" s="1"/>
  <c r="P31" i="11"/>
  <c r="Q31" i="11"/>
  <c r="P41" i="11"/>
  <c r="Q41" i="11"/>
  <c r="R41" i="11"/>
  <c r="S41" i="11"/>
  <c r="U49" i="11" s="1"/>
  <c r="O41" i="11"/>
  <c r="Q11" i="11"/>
  <c r="P11" i="11"/>
  <c r="O11" i="11"/>
  <c r="R11" i="11"/>
  <c r="S11" i="11"/>
  <c r="U19" i="11" s="1"/>
  <c r="P18" i="11"/>
  <c r="O18" i="11"/>
  <c r="S18" i="11"/>
  <c r="U26" i="11" s="1"/>
  <c r="R18" i="11"/>
  <c r="Q18" i="11"/>
  <c r="P26" i="11"/>
  <c r="S26" i="11"/>
  <c r="U34" i="11" s="1"/>
  <c r="O26" i="11"/>
  <c r="R26" i="11"/>
  <c r="Q26" i="11"/>
  <c r="P28" i="11"/>
  <c r="Q28" i="11"/>
  <c r="R28" i="11"/>
  <c r="S28" i="11"/>
  <c r="U36" i="11" s="1"/>
  <c r="O28" i="11"/>
  <c r="O38" i="11"/>
  <c r="S38" i="11"/>
  <c r="U46" i="11" s="1"/>
  <c r="P38" i="11"/>
  <c r="Q38" i="11"/>
  <c r="R38" i="11"/>
  <c r="P60" i="11"/>
  <c r="Q60" i="11"/>
  <c r="R60" i="11"/>
  <c r="O60" i="11"/>
  <c r="S60" i="11"/>
  <c r="R21" i="11"/>
  <c r="O21" i="11"/>
  <c r="S21" i="11"/>
  <c r="U29" i="11" s="1"/>
  <c r="Q21" i="11"/>
  <c r="P21" i="11"/>
  <c r="O13" i="11"/>
  <c r="S13" i="11"/>
  <c r="U21" i="11" s="1"/>
  <c r="P13" i="11"/>
  <c r="Q13" i="11"/>
  <c r="R13" i="11"/>
  <c r="P37" i="11"/>
  <c r="Q37" i="11"/>
  <c r="R37" i="11"/>
  <c r="S37" i="11"/>
  <c r="U45" i="11" s="1"/>
  <c r="O37" i="11"/>
  <c r="R43" i="11"/>
  <c r="O43" i="11"/>
  <c r="S43" i="11"/>
  <c r="U51" i="11" s="1"/>
  <c r="P43" i="11"/>
  <c r="Q43" i="11"/>
  <c r="O53" i="11"/>
  <c r="S53" i="11"/>
  <c r="U61" i="11" s="1"/>
  <c r="P53" i="11"/>
  <c r="Q53" i="11"/>
  <c r="R53" i="11"/>
  <c r="R57" i="11"/>
  <c r="O57" i="11"/>
  <c r="S57" i="11"/>
  <c r="U65" i="11" s="1"/>
  <c r="P57" i="11"/>
  <c r="Q57" i="11"/>
  <c r="Q67" i="11"/>
  <c r="R67" i="11"/>
  <c r="O67" i="11"/>
  <c r="S67" i="11"/>
  <c r="P67" i="11"/>
  <c r="P12" i="11"/>
  <c r="Q12" i="11"/>
  <c r="S12" i="11"/>
  <c r="U20" i="11" s="1"/>
  <c r="O12" i="11"/>
  <c r="R12" i="11"/>
  <c r="R30" i="11"/>
  <c r="Q30" i="11"/>
  <c r="P30" i="11"/>
  <c r="S30" i="11"/>
  <c r="U38" i="11" s="1"/>
  <c r="O30" i="11"/>
  <c r="P48" i="11"/>
  <c r="O48" i="11"/>
  <c r="S48" i="11"/>
  <c r="U56" i="11" s="1"/>
  <c r="Q48" i="11"/>
  <c r="R48" i="11"/>
  <c r="I7" i="32" l="1"/>
  <c r="G7" i="21"/>
  <c r="M7" i="21" s="1"/>
  <c r="G20" i="16"/>
  <c r="G29" i="16" s="1"/>
  <c r="G7" i="32"/>
  <c r="O7" i="32"/>
  <c r="G19" i="24"/>
  <c r="E19" i="24"/>
  <c r="F19" i="24"/>
  <c r="G22" i="8"/>
  <c r="F19" i="30" s="1"/>
  <c r="F22" i="30"/>
  <c r="C25" i="16"/>
  <c r="C26" i="16" s="1"/>
  <c r="X14" i="14"/>
  <c r="X43" i="14"/>
  <c r="X55" i="14"/>
  <c r="X19" i="14"/>
  <c r="X60" i="14"/>
  <c r="X50" i="14"/>
  <c r="X44" i="14"/>
  <c r="X33" i="14"/>
  <c r="X25" i="14"/>
  <c r="X29" i="14"/>
  <c r="X22" i="14"/>
  <c r="X52" i="14"/>
  <c r="X57" i="14"/>
  <c r="X54" i="14"/>
  <c r="X59" i="14"/>
  <c r="X62" i="14"/>
  <c r="X46" i="14"/>
  <c r="X36" i="14"/>
  <c r="X34" i="14"/>
  <c r="X35" i="14"/>
  <c r="X48" i="14"/>
  <c r="X26" i="14"/>
  <c r="X39" i="14"/>
  <c r="X63" i="14"/>
  <c r="X47" i="14"/>
  <c r="X41" i="14"/>
  <c r="X58" i="14"/>
  <c r="X31" i="14"/>
  <c r="X40" i="14"/>
  <c r="X30" i="14"/>
  <c r="X53" i="14"/>
  <c r="X61" i="14"/>
  <c r="X51" i="14"/>
  <c r="X17" i="14"/>
  <c r="X56" i="14"/>
  <c r="X27" i="14"/>
  <c r="X37" i="14"/>
  <c r="X64" i="14"/>
  <c r="X45" i="14"/>
  <c r="X20" i="14"/>
  <c r="X28" i="14"/>
  <c r="X18" i="14"/>
  <c r="X38" i="14"/>
  <c r="X66" i="14"/>
  <c r="X65" i="14"/>
  <c r="I17" i="8" s="1"/>
  <c r="H17" i="30" s="1"/>
  <c r="X21" i="14"/>
  <c r="X32" i="14"/>
  <c r="X23" i="14"/>
  <c r="X49" i="14"/>
  <c r="X42" i="14"/>
  <c r="X24" i="14"/>
  <c r="X15" i="14"/>
  <c r="H25" i="8"/>
  <c r="C19" i="24"/>
  <c r="D19" i="24"/>
  <c r="T37" i="11"/>
  <c r="T20" i="11"/>
  <c r="T60" i="11"/>
  <c r="T38" i="11"/>
  <c r="T26" i="11"/>
  <c r="T52" i="11"/>
  <c r="T51" i="11"/>
  <c r="T10" i="11"/>
  <c r="T49" i="11"/>
  <c r="T13" i="11"/>
  <c r="T21" i="11"/>
  <c r="T28" i="11"/>
  <c r="T41" i="11"/>
  <c r="T31" i="11"/>
  <c r="T19" i="11"/>
  <c r="T59" i="11"/>
  <c r="T58" i="11"/>
  <c r="T14" i="11"/>
  <c r="T33" i="11"/>
  <c r="T42" i="11"/>
  <c r="T35" i="11"/>
  <c r="T17" i="11"/>
  <c r="T66" i="11"/>
  <c r="T11" i="11"/>
  <c r="T50" i="11"/>
  <c r="T39" i="11"/>
  <c r="T62" i="11"/>
  <c r="T48" i="11"/>
  <c r="T12" i="11"/>
  <c r="T57" i="11"/>
  <c r="T32" i="11"/>
  <c r="T45" i="11"/>
  <c r="T40" i="11"/>
  <c r="T61" i="11"/>
  <c r="T46" i="11"/>
  <c r="T54" i="11"/>
  <c r="T65" i="11"/>
  <c r="T30" i="11"/>
  <c r="T67" i="11"/>
  <c r="T53" i="11"/>
  <c r="T43" i="11"/>
  <c r="T18" i="11"/>
  <c r="T22" i="11"/>
  <c r="T47" i="11"/>
  <c r="T44" i="11"/>
  <c r="T63" i="11"/>
  <c r="T29" i="11"/>
  <c r="T27" i="11"/>
  <c r="T16" i="11"/>
  <c r="T15" i="11"/>
  <c r="T56" i="11"/>
  <c r="T34" i="11"/>
  <c r="T64" i="11"/>
  <c r="T9" i="11"/>
  <c r="T55" i="11"/>
  <c r="T24" i="11"/>
  <c r="T25" i="11"/>
  <c r="T23" i="11"/>
  <c r="T36" i="11"/>
  <c r="G45" i="11"/>
  <c r="G29" i="11"/>
  <c r="G40" i="11"/>
  <c r="G26" i="11"/>
  <c r="D14" i="24"/>
  <c r="G30" i="11"/>
  <c r="I15" i="8"/>
  <c r="H15" i="30" s="1"/>
  <c r="G24" i="11"/>
  <c r="F15" i="8"/>
  <c r="E15" i="30" s="1"/>
  <c r="H15" i="8"/>
  <c r="G15" i="30" s="1"/>
  <c r="H14" i="24"/>
  <c r="G49" i="11"/>
  <c r="G37" i="11"/>
  <c r="F14" i="24"/>
  <c r="G14" i="24"/>
  <c r="C14" i="24"/>
  <c r="E14" i="24"/>
  <c r="R56" i="22"/>
  <c r="O57" i="22" s="1"/>
  <c r="R57" i="22" s="1"/>
  <c r="O58" i="22" s="1"/>
  <c r="R58" i="22" s="1"/>
  <c r="O59" i="22" s="1"/>
  <c r="R59" i="22" s="1"/>
  <c r="O60" i="22" s="1"/>
  <c r="R60" i="22" s="1"/>
  <c r="O61" i="22" s="1"/>
  <c r="R61" i="22" s="1"/>
  <c r="O62" i="22" s="1"/>
  <c r="R62" i="22" s="1"/>
  <c r="O63" i="22" s="1"/>
  <c r="R63" i="22" s="1"/>
  <c r="O64" i="22" s="1"/>
  <c r="R64" i="22" s="1"/>
  <c r="O65" i="22" s="1"/>
  <c r="R65" i="22" s="1"/>
  <c r="O66" i="22" s="1"/>
  <c r="R66" i="22" s="1"/>
  <c r="G67" i="11"/>
  <c r="G66" i="11"/>
  <c r="W7" i="14"/>
  <c r="D21" i="16"/>
  <c r="D22" i="16" s="1"/>
  <c r="U17" i="11"/>
  <c r="H20" i="16" l="1"/>
  <c r="I20" i="16" s="1"/>
  <c r="I29" i="16" s="1"/>
  <c r="H22" i="8"/>
  <c r="G19" i="30" s="1"/>
  <c r="G22" i="30"/>
  <c r="E17" i="8"/>
  <c r="D17" i="30" s="1"/>
  <c r="W35" i="14"/>
  <c r="W54" i="14"/>
  <c r="W55" i="14"/>
  <c r="W28" i="14"/>
  <c r="W21" i="14"/>
  <c r="W66" i="14"/>
  <c r="W45" i="14"/>
  <c r="W31" i="14"/>
  <c r="W61" i="14"/>
  <c r="W65" i="14"/>
  <c r="I16" i="8" s="1"/>
  <c r="H16" i="30" s="1"/>
  <c r="W32" i="14"/>
  <c r="W18" i="14"/>
  <c r="W20" i="14"/>
  <c r="W50" i="14"/>
  <c r="W59" i="14"/>
  <c r="X16" i="14"/>
  <c r="H17" i="8" s="1"/>
  <c r="G17" i="30" s="1"/>
  <c r="W22" i="14"/>
  <c r="W8" i="14"/>
  <c r="W14" i="14"/>
  <c r="W62" i="14"/>
  <c r="W17" i="14"/>
  <c r="W29" i="14"/>
  <c r="W60" i="14"/>
  <c r="W56" i="14"/>
  <c r="W38" i="14"/>
  <c r="W16" i="14"/>
  <c r="W13" i="14"/>
  <c r="W30" i="14"/>
  <c r="W12" i="14"/>
  <c r="W51" i="14"/>
  <c r="W19" i="14"/>
  <c r="W23" i="14"/>
  <c r="W33" i="14"/>
  <c r="W26" i="14"/>
  <c r="W46" i="14"/>
  <c r="W52" i="14"/>
  <c r="W53" i="14"/>
  <c r="W44" i="14"/>
  <c r="W47" i="14"/>
  <c r="W10" i="14"/>
  <c r="W41" i="14"/>
  <c r="W58" i="14"/>
  <c r="W27" i="14"/>
  <c r="W9" i="14"/>
  <c r="W37" i="14"/>
  <c r="W24" i="14"/>
  <c r="W63" i="14"/>
  <c r="W15" i="14"/>
  <c r="W43" i="14"/>
  <c r="W42" i="14"/>
  <c r="W64" i="14"/>
  <c r="W39" i="14"/>
  <c r="W11" i="14"/>
  <c r="W49" i="14"/>
  <c r="W34" i="14"/>
  <c r="W57" i="14"/>
  <c r="W40" i="14"/>
  <c r="W48" i="14"/>
  <c r="W25" i="14"/>
  <c r="W36" i="14"/>
  <c r="G17" i="8"/>
  <c r="F17" i="30" s="1"/>
  <c r="C27" i="16"/>
  <c r="D13" i="24"/>
  <c r="D15" i="24" s="1"/>
  <c r="H13" i="24"/>
  <c r="F13" i="24"/>
  <c r="G13" i="24"/>
  <c r="G15" i="24" s="1"/>
  <c r="C13" i="24"/>
  <c r="C15" i="24" s="1"/>
  <c r="E13" i="24"/>
  <c r="E15" i="24" s="1"/>
  <c r="E21" i="16"/>
  <c r="E22" i="16" s="1"/>
  <c r="F17" i="8"/>
  <c r="E17" i="30" s="1"/>
  <c r="H29" i="16" l="1"/>
  <c r="G16" i="8"/>
  <c r="F16" i="30" s="1"/>
  <c r="F16" i="8"/>
  <c r="E16" i="30" s="1"/>
  <c r="H16" i="8"/>
  <c r="G16" i="30" s="1"/>
  <c r="E16" i="8"/>
  <c r="D16" i="30" s="1"/>
  <c r="F15" i="24"/>
  <c r="H15" i="24"/>
  <c r="F21" i="16"/>
  <c r="F22" i="16" s="1"/>
  <c r="G21" i="16" l="1"/>
  <c r="G22" i="16" s="1"/>
  <c r="H21" i="16" l="1"/>
  <c r="I21" i="16" l="1"/>
  <c r="I22" i="16" s="1"/>
  <c r="H22" i="16"/>
  <c r="D11" i="10"/>
  <c r="E10" i="4"/>
  <c r="D7" i="4"/>
  <c r="D10" i="4" l="1"/>
  <c r="F15" i="4"/>
  <c r="J15" i="4" s="1"/>
  <c r="F19" i="4"/>
  <c r="F16" i="4"/>
  <c r="J16" i="4" s="1"/>
  <c r="F17" i="4"/>
  <c r="F20" i="4"/>
  <c r="F18" i="4"/>
  <c r="J18" i="4" s="1"/>
  <c r="J20" i="4" l="1"/>
  <c r="J19" i="4"/>
  <c r="J17" i="4"/>
  <c r="E15" i="4"/>
  <c r="E20" i="4"/>
  <c r="E18" i="4"/>
  <c r="E19" i="4"/>
  <c r="E17" i="4"/>
  <c r="E16" i="4"/>
  <c r="I19" i="4" l="1"/>
  <c r="I17" i="4"/>
  <c r="I15" i="4"/>
  <c r="I18" i="4"/>
  <c r="I16" i="4"/>
  <c r="I20" i="4"/>
  <c r="G42" i="4"/>
  <c r="C10" i="4" l="1"/>
  <c r="C13" i="8"/>
  <c r="F10" i="4"/>
  <c r="G15" i="4" s="1"/>
  <c r="K15" i="4" s="1"/>
  <c r="H15" i="4" s="1"/>
  <c r="C35" i="8" l="1"/>
  <c r="B13" i="30"/>
  <c r="G19" i="4"/>
  <c r="G17" i="4"/>
  <c r="G20" i="4"/>
  <c r="D20" i="4" s="1"/>
  <c r="G18" i="4"/>
  <c r="D18" i="4" s="1"/>
  <c r="G16" i="4"/>
  <c r="F7" i="21"/>
  <c r="D15" i="4"/>
  <c r="C28" i="8"/>
  <c r="D16" i="4"/>
  <c r="K16" i="4"/>
  <c r="H16" i="4" s="1"/>
  <c r="D19" i="4"/>
  <c r="K17" i="4"/>
  <c r="H17" i="4" s="1"/>
  <c r="D17" i="4"/>
  <c r="C20" i="24"/>
  <c r="M15" i="4"/>
  <c r="B32" i="30" l="1"/>
  <c r="B25" i="30"/>
  <c r="F66" i="21"/>
  <c r="F66" i="32" s="1"/>
  <c r="F62" i="21"/>
  <c r="F62" i="32" s="1"/>
  <c r="F58" i="21"/>
  <c r="F58" i="32" s="1"/>
  <c r="F54" i="21"/>
  <c r="F54" i="32" s="1"/>
  <c r="F50" i="21"/>
  <c r="F50" i="32" s="1"/>
  <c r="F46" i="21"/>
  <c r="F46" i="32" s="1"/>
  <c r="F42" i="21"/>
  <c r="F42" i="32" s="1"/>
  <c r="F38" i="21"/>
  <c r="F38" i="32" s="1"/>
  <c r="F65" i="21"/>
  <c r="F65" i="32" s="1"/>
  <c r="F61" i="21"/>
  <c r="F61" i="32" s="1"/>
  <c r="F57" i="21"/>
  <c r="F57" i="32" s="1"/>
  <c r="F53" i="21"/>
  <c r="F53" i="32" s="1"/>
  <c r="F49" i="21"/>
  <c r="F49" i="32" s="1"/>
  <c r="F45" i="21"/>
  <c r="F45" i="32" s="1"/>
  <c r="F41" i="21"/>
  <c r="F41" i="32" s="1"/>
  <c r="F37" i="21"/>
  <c r="F37" i="32" s="1"/>
  <c r="F33" i="21"/>
  <c r="F33" i="32" s="1"/>
  <c r="F63" i="21"/>
  <c r="F63" i="32" s="1"/>
  <c r="F55" i="21"/>
  <c r="F55" i="32" s="1"/>
  <c r="F47" i="21"/>
  <c r="F47" i="32" s="1"/>
  <c r="F39" i="21"/>
  <c r="F39" i="32" s="1"/>
  <c r="F32" i="21"/>
  <c r="F32" i="32" s="1"/>
  <c r="F28" i="21"/>
  <c r="F28" i="32" s="1"/>
  <c r="F24" i="21"/>
  <c r="F24" i="32" s="1"/>
  <c r="F9" i="21"/>
  <c r="F9" i="32" s="1"/>
  <c r="F13" i="21"/>
  <c r="F13" i="32" s="1"/>
  <c r="F17" i="21"/>
  <c r="F8" i="21"/>
  <c r="F8" i="32" s="1"/>
  <c r="F67" i="21"/>
  <c r="F67" i="32" s="1"/>
  <c r="F59" i="21"/>
  <c r="F59" i="32" s="1"/>
  <c r="F51" i="21"/>
  <c r="F51" i="32" s="1"/>
  <c r="F43" i="21"/>
  <c r="F43" i="32" s="1"/>
  <c r="F35" i="21"/>
  <c r="F35" i="32" s="1"/>
  <c r="F30" i="21"/>
  <c r="F30" i="32" s="1"/>
  <c r="F26" i="21"/>
  <c r="F26" i="32" s="1"/>
  <c r="F22" i="21"/>
  <c r="F22" i="32" s="1"/>
  <c r="F11" i="21"/>
  <c r="F11" i="32" s="1"/>
  <c r="F15" i="21"/>
  <c r="F15" i="32" s="1"/>
  <c r="F19" i="21"/>
  <c r="F19" i="32" s="1"/>
  <c r="F64" i="21"/>
  <c r="F64" i="32" s="1"/>
  <c r="F56" i="21"/>
  <c r="F56" i="32" s="1"/>
  <c r="F48" i="21"/>
  <c r="F48" i="32" s="1"/>
  <c r="F40" i="21"/>
  <c r="F40" i="32" s="1"/>
  <c r="F34" i="21"/>
  <c r="F34" i="32" s="1"/>
  <c r="F25" i="21"/>
  <c r="F25" i="32" s="1"/>
  <c r="F21" i="21"/>
  <c r="F21" i="32" s="1"/>
  <c r="F12" i="21"/>
  <c r="F12" i="32" s="1"/>
  <c r="F16" i="21"/>
  <c r="F16" i="32" s="1"/>
  <c r="F20" i="21"/>
  <c r="F20" i="32" s="1"/>
  <c r="F7" i="32"/>
  <c r="F60" i="21"/>
  <c r="F60" i="32" s="1"/>
  <c r="F52" i="21"/>
  <c r="F52" i="32" s="1"/>
  <c r="F44" i="21"/>
  <c r="F44" i="32" s="1"/>
  <c r="F36" i="21"/>
  <c r="F36" i="32" s="1"/>
  <c r="F31" i="21"/>
  <c r="F31" i="32" s="1"/>
  <c r="F27" i="21"/>
  <c r="F27" i="32" s="1"/>
  <c r="F23" i="21"/>
  <c r="F23" i="32" s="1"/>
  <c r="F10" i="21"/>
  <c r="F10" i="32" s="1"/>
  <c r="F14" i="21"/>
  <c r="F14" i="32" s="1"/>
  <c r="F18" i="21"/>
  <c r="F18" i="32" s="1"/>
  <c r="F29" i="21"/>
  <c r="F29" i="32" s="1"/>
  <c r="C29" i="8"/>
  <c r="K8" i="33"/>
  <c r="L8" i="33" s="1"/>
  <c r="N8" i="33" s="1"/>
  <c r="J8" i="21" s="1"/>
  <c r="G8" i="21" s="1"/>
  <c r="K9" i="33"/>
  <c r="L9" i="33" s="1"/>
  <c r="N9" i="33" s="1"/>
  <c r="K10" i="33"/>
  <c r="L10" i="33" s="1"/>
  <c r="N10" i="33" s="1"/>
  <c r="K11" i="33"/>
  <c r="L11" i="33" s="1"/>
  <c r="N11" i="33" s="1"/>
  <c r="K12" i="33"/>
  <c r="L12" i="33" s="1"/>
  <c r="N12" i="33" s="1"/>
  <c r="K13" i="33"/>
  <c r="L13" i="33" s="1"/>
  <c r="N13" i="33" s="1"/>
  <c r="K14" i="33"/>
  <c r="L14" i="33" s="1"/>
  <c r="N14" i="33" s="1"/>
  <c r="K15" i="33"/>
  <c r="L15" i="33" s="1"/>
  <c r="N15" i="33" s="1"/>
  <c r="K16" i="33"/>
  <c r="L16" i="33" s="1"/>
  <c r="N16" i="33" s="1"/>
  <c r="K17" i="33"/>
  <c r="L17" i="33" s="1"/>
  <c r="N17" i="33" s="1"/>
  <c r="K19" i="4"/>
  <c r="H19" i="4" s="1"/>
  <c r="K18" i="4"/>
  <c r="H18" i="4" s="1"/>
  <c r="N7" i="21"/>
  <c r="K20" i="4"/>
  <c r="H20" i="4" s="1"/>
  <c r="M20" i="4" s="1"/>
  <c r="C11" i="8"/>
  <c r="C32" i="8"/>
  <c r="C33" i="8" s="1"/>
  <c r="E20" i="24"/>
  <c r="M17" i="4"/>
  <c r="K9" i="23"/>
  <c r="L9" i="23" s="1"/>
  <c r="N9" i="23" s="1"/>
  <c r="K13" i="23"/>
  <c r="L13" i="23" s="1"/>
  <c r="N13" i="23" s="1"/>
  <c r="K16" i="23"/>
  <c r="L16" i="23" s="1"/>
  <c r="N16" i="23" s="1"/>
  <c r="K11" i="23"/>
  <c r="L11" i="23" s="1"/>
  <c r="N11" i="23" s="1"/>
  <c r="K10" i="23"/>
  <c r="L10" i="23" s="1"/>
  <c r="N10" i="23" s="1"/>
  <c r="K8" i="23"/>
  <c r="L8" i="23" s="1"/>
  <c r="N8" i="23" s="1"/>
  <c r="K15" i="23"/>
  <c r="L15" i="23" s="1"/>
  <c r="N15" i="23" s="1"/>
  <c r="K17" i="23"/>
  <c r="L17" i="23" s="1"/>
  <c r="N17" i="23" s="1"/>
  <c r="K12" i="23"/>
  <c r="L12" i="23" s="1"/>
  <c r="N12" i="23" s="1"/>
  <c r="K14" i="23"/>
  <c r="L14" i="23" s="1"/>
  <c r="N14" i="23" s="1"/>
  <c r="M19" i="4"/>
  <c r="G20" i="24"/>
  <c r="M18" i="4"/>
  <c r="F20" i="24"/>
  <c r="D20" i="24"/>
  <c r="M16" i="4"/>
  <c r="K67" i="23"/>
  <c r="L67" i="23" s="1"/>
  <c r="N67" i="23" s="1"/>
  <c r="K66" i="23"/>
  <c r="L66" i="23" s="1"/>
  <c r="N66" i="23" s="1"/>
  <c r="H23" i="24" s="1"/>
  <c r="B26" i="30" l="1"/>
  <c r="B29" i="30"/>
  <c r="B30" i="30" s="1"/>
  <c r="C23" i="24"/>
  <c r="C24" i="24" s="1"/>
  <c r="H8" i="31"/>
  <c r="G8" i="31"/>
  <c r="L7" i="32"/>
  <c r="M7" i="32" s="1"/>
  <c r="F8" i="31"/>
  <c r="J8" i="31"/>
  <c r="I8" i="31"/>
  <c r="M8" i="21"/>
  <c r="N8" i="21" s="1"/>
  <c r="J8" i="32"/>
  <c r="F17" i="32"/>
  <c r="K54" i="33"/>
  <c r="L54" i="33" s="1"/>
  <c r="N54" i="33" s="1"/>
  <c r="K55" i="33"/>
  <c r="L55" i="33" s="1"/>
  <c r="N55" i="33" s="1"/>
  <c r="K56" i="33"/>
  <c r="L56" i="33" s="1"/>
  <c r="N56" i="33" s="1"/>
  <c r="K57" i="33"/>
  <c r="L57" i="33" s="1"/>
  <c r="N57" i="33" s="1"/>
  <c r="K58" i="33"/>
  <c r="L58" i="33" s="1"/>
  <c r="N58" i="33" s="1"/>
  <c r="K59" i="33"/>
  <c r="L59" i="33" s="1"/>
  <c r="N59" i="33" s="1"/>
  <c r="K60" i="33"/>
  <c r="L60" i="33" s="1"/>
  <c r="N60" i="33" s="1"/>
  <c r="K61" i="33"/>
  <c r="L61" i="33" s="1"/>
  <c r="N61" i="33" s="1"/>
  <c r="K62" i="33"/>
  <c r="L62" i="33" s="1"/>
  <c r="N62" i="33" s="1"/>
  <c r="K63" i="33"/>
  <c r="L63" i="33" s="1"/>
  <c r="N63" i="33" s="1"/>
  <c r="K64" i="33"/>
  <c r="L64" i="33" s="1"/>
  <c r="N64" i="33" s="1"/>
  <c r="K65" i="33"/>
  <c r="L65" i="33" s="1"/>
  <c r="N65" i="33" s="1"/>
  <c r="J9" i="21"/>
  <c r="K42" i="33"/>
  <c r="L42" i="33" s="1"/>
  <c r="N42" i="33" s="1"/>
  <c r="K43" i="33"/>
  <c r="L43" i="33" s="1"/>
  <c r="N43" i="33" s="1"/>
  <c r="K44" i="33"/>
  <c r="L44" i="33" s="1"/>
  <c r="N44" i="33" s="1"/>
  <c r="K45" i="33"/>
  <c r="L45" i="33" s="1"/>
  <c r="N45" i="33" s="1"/>
  <c r="K46" i="33"/>
  <c r="L46" i="33" s="1"/>
  <c r="N46" i="33" s="1"/>
  <c r="K47" i="33"/>
  <c r="L47" i="33" s="1"/>
  <c r="N47" i="33" s="1"/>
  <c r="K48" i="33"/>
  <c r="L48" i="33" s="1"/>
  <c r="N48" i="33" s="1"/>
  <c r="K49" i="33"/>
  <c r="L49" i="33" s="1"/>
  <c r="N49" i="33" s="1"/>
  <c r="K50" i="33"/>
  <c r="L50" i="33" s="1"/>
  <c r="N50" i="33" s="1"/>
  <c r="K51" i="33"/>
  <c r="L51" i="33" s="1"/>
  <c r="N51" i="33" s="1"/>
  <c r="K52" i="33"/>
  <c r="L52" i="33" s="1"/>
  <c r="N52" i="33" s="1"/>
  <c r="K53" i="33"/>
  <c r="L53" i="33" s="1"/>
  <c r="N53" i="33" s="1"/>
  <c r="D10" i="8"/>
  <c r="C10" i="30" s="1"/>
  <c r="B11" i="30"/>
  <c r="K18" i="33"/>
  <c r="L18" i="33" s="1"/>
  <c r="N18" i="33" s="1"/>
  <c r="K19" i="33"/>
  <c r="L19" i="33" s="1"/>
  <c r="N19" i="33" s="1"/>
  <c r="K20" i="33"/>
  <c r="L20" i="33" s="1"/>
  <c r="N20" i="33" s="1"/>
  <c r="K21" i="33"/>
  <c r="L21" i="33" s="1"/>
  <c r="N21" i="33" s="1"/>
  <c r="K22" i="33"/>
  <c r="L22" i="33" s="1"/>
  <c r="N22" i="33" s="1"/>
  <c r="K23" i="33"/>
  <c r="L23" i="33" s="1"/>
  <c r="N23" i="33" s="1"/>
  <c r="K24" i="33"/>
  <c r="L24" i="33" s="1"/>
  <c r="N24" i="33" s="1"/>
  <c r="K25" i="33"/>
  <c r="L25" i="33" s="1"/>
  <c r="N25" i="33" s="1"/>
  <c r="K26" i="33"/>
  <c r="L26" i="33" s="1"/>
  <c r="N26" i="33" s="1"/>
  <c r="K27" i="33"/>
  <c r="L27" i="33" s="1"/>
  <c r="N27" i="33" s="1"/>
  <c r="K28" i="33"/>
  <c r="L28" i="33" s="1"/>
  <c r="N28" i="33" s="1"/>
  <c r="K29" i="33"/>
  <c r="L29" i="33" s="1"/>
  <c r="N29" i="33" s="1"/>
  <c r="K30" i="33"/>
  <c r="L30" i="33" s="1"/>
  <c r="N30" i="33" s="1"/>
  <c r="K31" i="33"/>
  <c r="L31" i="33" s="1"/>
  <c r="N31" i="33" s="1"/>
  <c r="K32" i="33"/>
  <c r="L32" i="33" s="1"/>
  <c r="N32" i="33" s="1"/>
  <c r="K33" i="33"/>
  <c r="L33" i="33" s="1"/>
  <c r="N33" i="33" s="1"/>
  <c r="K34" i="33"/>
  <c r="L34" i="33" s="1"/>
  <c r="N34" i="33" s="1"/>
  <c r="K35" i="33"/>
  <c r="L35" i="33" s="1"/>
  <c r="N35" i="33" s="1"/>
  <c r="K36" i="33"/>
  <c r="L36" i="33" s="1"/>
  <c r="N36" i="33" s="1"/>
  <c r="K37" i="33"/>
  <c r="L37" i="33" s="1"/>
  <c r="N37" i="33" s="1"/>
  <c r="K38" i="33"/>
  <c r="L38" i="33" s="1"/>
  <c r="N38" i="33" s="1"/>
  <c r="K39" i="33"/>
  <c r="L39" i="33" s="1"/>
  <c r="N39" i="33" s="1"/>
  <c r="K40" i="33"/>
  <c r="L40" i="33" s="1"/>
  <c r="N40" i="33" s="1"/>
  <c r="K41" i="33"/>
  <c r="L41" i="33" s="1"/>
  <c r="N41" i="33" s="1"/>
  <c r="K66" i="33"/>
  <c r="L66" i="33" s="1"/>
  <c r="N66" i="33" s="1"/>
  <c r="K67" i="33"/>
  <c r="L67" i="33" s="1"/>
  <c r="N67" i="33" s="1"/>
  <c r="K53" i="23"/>
  <c r="L53" i="23" s="1"/>
  <c r="N53" i="23" s="1"/>
  <c r="K43" i="23"/>
  <c r="L43" i="23" s="1"/>
  <c r="N43" i="23" s="1"/>
  <c r="K44" i="23"/>
  <c r="L44" i="23" s="1"/>
  <c r="N44" i="23" s="1"/>
  <c r="K42" i="23"/>
  <c r="L42" i="23" s="1"/>
  <c r="N42" i="23" s="1"/>
  <c r="K48" i="23"/>
  <c r="L48" i="23" s="1"/>
  <c r="N48" i="23" s="1"/>
  <c r="K51" i="23"/>
  <c r="L51" i="23" s="1"/>
  <c r="N51" i="23" s="1"/>
  <c r="K47" i="23"/>
  <c r="L47" i="23" s="1"/>
  <c r="N47" i="23" s="1"/>
  <c r="K45" i="23"/>
  <c r="L45" i="23" s="1"/>
  <c r="N45" i="23" s="1"/>
  <c r="K52" i="23"/>
  <c r="L52" i="23" s="1"/>
  <c r="N52" i="23" s="1"/>
  <c r="K50" i="23"/>
  <c r="L50" i="23" s="1"/>
  <c r="N50" i="23" s="1"/>
  <c r="K46" i="23"/>
  <c r="L46" i="23" s="1"/>
  <c r="N46" i="23" s="1"/>
  <c r="K49" i="23"/>
  <c r="L49" i="23" s="1"/>
  <c r="N49" i="23" s="1"/>
  <c r="K28" i="23"/>
  <c r="L28" i="23" s="1"/>
  <c r="N28" i="23" s="1"/>
  <c r="K25" i="23"/>
  <c r="L25" i="23" s="1"/>
  <c r="N25" i="23" s="1"/>
  <c r="K27" i="23"/>
  <c r="L27" i="23" s="1"/>
  <c r="N27" i="23" s="1"/>
  <c r="K19" i="23"/>
  <c r="L19" i="23" s="1"/>
  <c r="N19" i="23" s="1"/>
  <c r="K20" i="23"/>
  <c r="L20" i="23" s="1"/>
  <c r="N20" i="23" s="1"/>
  <c r="K21" i="23"/>
  <c r="L21" i="23" s="1"/>
  <c r="N21" i="23" s="1"/>
  <c r="K22" i="23"/>
  <c r="L22" i="23" s="1"/>
  <c r="N22" i="23" s="1"/>
  <c r="K23" i="23"/>
  <c r="L23" i="23" s="1"/>
  <c r="N23" i="23" s="1"/>
  <c r="K18" i="23"/>
  <c r="L18" i="23" s="1"/>
  <c r="N18" i="23" s="1"/>
  <c r="K26" i="23"/>
  <c r="L26" i="23" s="1"/>
  <c r="N26" i="23" s="1"/>
  <c r="K24" i="23"/>
  <c r="L24" i="23" s="1"/>
  <c r="N24" i="23" s="1"/>
  <c r="K29" i="23"/>
  <c r="L29" i="23" s="1"/>
  <c r="N29" i="23" s="1"/>
  <c r="H24" i="24"/>
  <c r="I21" i="8"/>
  <c r="K57" i="23"/>
  <c r="L57" i="23" s="1"/>
  <c r="N57" i="23" s="1"/>
  <c r="K65" i="23"/>
  <c r="L65" i="23" s="1"/>
  <c r="N65" i="23" s="1"/>
  <c r="K60" i="23"/>
  <c r="L60" i="23" s="1"/>
  <c r="N60" i="23" s="1"/>
  <c r="K56" i="23"/>
  <c r="L56" i="23" s="1"/>
  <c r="N56" i="23" s="1"/>
  <c r="K61" i="23"/>
  <c r="L61" i="23" s="1"/>
  <c r="N61" i="23" s="1"/>
  <c r="K63" i="23"/>
  <c r="L63" i="23" s="1"/>
  <c r="N63" i="23" s="1"/>
  <c r="K59" i="23"/>
  <c r="L59" i="23" s="1"/>
  <c r="N59" i="23" s="1"/>
  <c r="K55" i="23"/>
  <c r="L55" i="23" s="1"/>
  <c r="N55" i="23" s="1"/>
  <c r="K58" i="23"/>
  <c r="L58" i="23" s="1"/>
  <c r="N58" i="23" s="1"/>
  <c r="K62" i="23"/>
  <c r="L62" i="23" s="1"/>
  <c r="N62" i="23" s="1"/>
  <c r="K54" i="23"/>
  <c r="L54" i="23" s="1"/>
  <c r="N54" i="23" s="1"/>
  <c r="K64" i="23"/>
  <c r="L64" i="23" s="1"/>
  <c r="N64" i="23" s="1"/>
  <c r="K40" i="23"/>
  <c r="L40" i="23" s="1"/>
  <c r="N40" i="23" s="1"/>
  <c r="K34" i="23"/>
  <c r="L34" i="23" s="1"/>
  <c r="N34" i="23" s="1"/>
  <c r="K41" i="23"/>
  <c r="L41" i="23" s="1"/>
  <c r="N41" i="23" s="1"/>
  <c r="K32" i="23"/>
  <c r="L32" i="23" s="1"/>
  <c r="N32" i="23" s="1"/>
  <c r="K33" i="23"/>
  <c r="L33" i="23" s="1"/>
  <c r="N33" i="23" s="1"/>
  <c r="K39" i="23"/>
  <c r="L39" i="23" s="1"/>
  <c r="N39" i="23" s="1"/>
  <c r="K36" i="23"/>
  <c r="L36" i="23" s="1"/>
  <c r="N36" i="23" s="1"/>
  <c r="K37" i="23"/>
  <c r="L37" i="23" s="1"/>
  <c r="N37" i="23" s="1"/>
  <c r="K31" i="23"/>
  <c r="L31" i="23" s="1"/>
  <c r="N31" i="23" s="1"/>
  <c r="K35" i="23"/>
  <c r="L35" i="23" s="1"/>
  <c r="N35" i="23" s="1"/>
  <c r="K38" i="23"/>
  <c r="L38" i="23" s="1"/>
  <c r="N38" i="23" s="1"/>
  <c r="K30" i="23"/>
  <c r="L30" i="23" s="1"/>
  <c r="N30" i="23" s="1"/>
  <c r="D21" i="8"/>
  <c r="J9" i="32" l="1"/>
  <c r="G9" i="21"/>
  <c r="E23" i="24"/>
  <c r="E24" i="24" s="1"/>
  <c r="G23" i="24"/>
  <c r="G24" i="24" s="1"/>
  <c r="G26" i="24" s="1"/>
  <c r="D23" i="24"/>
  <c r="D24" i="24" s="1"/>
  <c r="F23" i="24"/>
  <c r="F24" i="24" s="1"/>
  <c r="E8" i="31"/>
  <c r="G9" i="32"/>
  <c r="O9" i="32"/>
  <c r="O8" i="32"/>
  <c r="G8" i="32"/>
  <c r="J10" i="21"/>
  <c r="D18" i="8"/>
  <c r="I18" i="8"/>
  <c r="H18" i="30" s="1"/>
  <c r="H28" i="24"/>
  <c r="H26" i="24"/>
  <c r="C26" i="24"/>
  <c r="C28" i="24"/>
  <c r="E21" i="8"/>
  <c r="G21" i="8"/>
  <c r="F21" i="8"/>
  <c r="H21" i="8"/>
  <c r="J10" i="32" l="1"/>
  <c r="O10" i="32" s="1"/>
  <c r="G10" i="21"/>
  <c r="H32" i="30"/>
  <c r="H25" i="30"/>
  <c r="H29" i="30" s="1"/>
  <c r="D35" i="8"/>
  <c r="C18" i="30"/>
  <c r="L8" i="32"/>
  <c r="M8" i="32" s="1"/>
  <c r="D25" i="16"/>
  <c r="D26" i="16" s="1"/>
  <c r="D27" i="16" s="1"/>
  <c r="D38" i="16" s="1"/>
  <c r="D28" i="8"/>
  <c r="J11" i="21"/>
  <c r="M9" i="21"/>
  <c r="N9" i="21" s="1"/>
  <c r="I28" i="8"/>
  <c r="I32" i="8" s="1"/>
  <c r="G18" i="8"/>
  <c r="F18" i="30" s="1"/>
  <c r="E18" i="8"/>
  <c r="D18" i="30" s="1"/>
  <c r="H18" i="8"/>
  <c r="G18" i="30" s="1"/>
  <c r="F18" i="8"/>
  <c r="E18" i="30" s="1"/>
  <c r="G28" i="24"/>
  <c r="F26" i="24"/>
  <c r="F28" i="24"/>
  <c r="E28" i="24"/>
  <c r="E26" i="24"/>
  <c r="D26" i="24"/>
  <c r="D28" i="24"/>
  <c r="G10" i="32" l="1"/>
  <c r="J11" i="32"/>
  <c r="G11" i="32" s="1"/>
  <c r="G11" i="21"/>
  <c r="D32" i="30"/>
  <c r="D25" i="30"/>
  <c r="D29" i="30" s="1"/>
  <c r="C25" i="30"/>
  <c r="C32" i="30"/>
  <c r="F32" i="30"/>
  <c r="F25" i="30"/>
  <c r="F29" i="30" s="1"/>
  <c r="E25" i="30"/>
  <c r="E29" i="30" s="1"/>
  <c r="E32" i="30"/>
  <c r="G25" i="30"/>
  <c r="G29" i="30" s="1"/>
  <c r="G32" i="30"/>
  <c r="L9" i="32"/>
  <c r="M9" i="32" s="1"/>
  <c r="D32" i="8"/>
  <c r="D11" i="8"/>
  <c r="D35" i="16"/>
  <c r="D36" i="16" s="1"/>
  <c r="D29" i="8"/>
  <c r="G28" i="8"/>
  <c r="G32" i="8" s="1"/>
  <c r="M10" i="21"/>
  <c r="N10" i="21" s="1"/>
  <c r="J12" i="21"/>
  <c r="H28" i="8"/>
  <c r="C12" i="16"/>
  <c r="C14" i="16" s="1"/>
  <c r="E25" i="16"/>
  <c r="E26" i="16" s="1"/>
  <c r="E27" i="16" s="1"/>
  <c r="E38" i="16" s="1"/>
  <c r="E28" i="8"/>
  <c r="E32" i="8" s="1"/>
  <c r="E35" i="8"/>
  <c r="F35" i="8" s="1"/>
  <c r="F28" i="8"/>
  <c r="F32" i="8" s="1"/>
  <c r="O11" i="32" l="1"/>
  <c r="J12" i="32"/>
  <c r="G12" i="32" s="1"/>
  <c r="G12" i="21"/>
  <c r="C29" i="30"/>
  <c r="D21" i="31" s="1"/>
  <c r="C26" i="30"/>
  <c r="D26" i="30" s="1"/>
  <c r="E26" i="30" s="1"/>
  <c r="F26" i="30" s="1"/>
  <c r="G26" i="30" s="1"/>
  <c r="H26" i="30" s="1"/>
  <c r="L10" i="32"/>
  <c r="M10" i="32" s="1"/>
  <c r="O12" i="32"/>
  <c r="D33" i="8"/>
  <c r="E33" i="8" s="1"/>
  <c r="H32" i="8"/>
  <c r="C11" i="30"/>
  <c r="E10" i="8"/>
  <c r="D10" i="30" s="1"/>
  <c r="F25" i="16"/>
  <c r="F26" i="16" s="1"/>
  <c r="F27" i="16" s="1"/>
  <c r="F38" i="16" s="1"/>
  <c r="M11" i="21"/>
  <c r="N11" i="21" s="1"/>
  <c r="J13" i="21"/>
  <c r="E35" i="16"/>
  <c r="E36" i="16" s="1"/>
  <c r="E29" i="8"/>
  <c r="G35" i="8"/>
  <c r="J13" i="32" l="1"/>
  <c r="O13" i="32" s="1"/>
  <c r="G13" i="21"/>
  <c r="E11" i="8"/>
  <c r="D11" i="30" s="1"/>
  <c r="L11" i="32"/>
  <c r="M11" i="32" s="1"/>
  <c r="D19" i="31"/>
  <c r="C30" i="30"/>
  <c r="F13" i="18"/>
  <c r="C19" i="31" s="1"/>
  <c r="F14" i="18"/>
  <c r="C21" i="31" s="1"/>
  <c r="E21" i="31" s="1"/>
  <c r="G25" i="16"/>
  <c r="H25" i="16" s="1"/>
  <c r="F35" i="16"/>
  <c r="F36" i="16" s="1"/>
  <c r="M12" i="21"/>
  <c r="N12" i="21" s="1"/>
  <c r="J14" i="21"/>
  <c r="F29" i="8"/>
  <c r="G29" i="8" s="1"/>
  <c r="H35" i="8"/>
  <c r="F33" i="8"/>
  <c r="G13" i="32" l="1"/>
  <c r="J14" i="32"/>
  <c r="G14" i="32" s="1"/>
  <c r="G14" i="21"/>
  <c r="L12" i="32"/>
  <c r="M12" i="32" s="1"/>
  <c r="F10" i="8"/>
  <c r="F11" i="8" s="1"/>
  <c r="G10" i="8" s="1"/>
  <c r="D30" i="30"/>
  <c r="E14" i="31"/>
  <c r="E19" i="31"/>
  <c r="G26" i="16"/>
  <c r="G27" i="16" s="1"/>
  <c r="G38" i="16" s="1"/>
  <c r="M13" i="21"/>
  <c r="N13" i="21" s="1"/>
  <c r="J15" i="21"/>
  <c r="G33" i="8"/>
  <c r="I35" i="8"/>
  <c r="I29" i="8"/>
  <c r="H29" i="8"/>
  <c r="H26" i="16"/>
  <c r="H27" i="16" s="1"/>
  <c r="H38" i="16" s="1"/>
  <c r="I25" i="16"/>
  <c r="O14" i="32" l="1"/>
  <c r="J15" i="32"/>
  <c r="G15" i="32" s="1"/>
  <c r="G15" i="21"/>
  <c r="E11" i="30"/>
  <c r="E10" i="30"/>
  <c r="F14" i="31"/>
  <c r="E30" i="30"/>
  <c r="L13" i="32"/>
  <c r="M13" i="32" s="1"/>
  <c r="G35" i="16"/>
  <c r="G36" i="16" s="1"/>
  <c r="M14" i="21"/>
  <c r="N14" i="21" s="1"/>
  <c r="J16" i="21"/>
  <c r="G11" i="8"/>
  <c r="H10" i="8" s="1"/>
  <c r="F10" i="30"/>
  <c r="H33" i="8"/>
  <c r="I26" i="16"/>
  <c r="I27" i="16" s="1"/>
  <c r="I38" i="16" s="1"/>
  <c r="H35" i="16"/>
  <c r="H36" i="16" s="1"/>
  <c r="O15" i="32" l="1"/>
  <c r="J16" i="32"/>
  <c r="G16" i="32" s="1"/>
  <c r="G16" i="21"/>
  <c r="L14" i="32"/>
  <c r="M14" i="32" s="1"/>
  <c r="F30" i="30"/>
  <c r="G14" i="31"/>
  <c r="M15" i="21"/>
  <c r="N15" i="21" s="1"/>
  <c r="J17" i="21"/>
  <c r="I33" i="8"/>
  <c r="F11" i="30"/>
  <c r="I35" i="16"/>
  <c r="I36" i="16" s="1"/>
  <c r="O16" i="32" l="1"/>
  <c r="J17" i="32"/>
  <c r="O17" i="32" s="1"/>
  <c r="E10" i="31" s="1"/>
  <c r="E12" i="31" s="1"/>
  <c r="G17" i="21"/>
  <c r="M17" i="21" s="1"/>
  <c r="L15" i="32"/>
  <c r="M15" i="32" s="1"/>
  <c r="G30" i="30"/>
  <c r="H14" i="31"/>
  <c r="J18" i="21"/>
  <c r="M16" i="21"/>
  <c r="N16" i="21" s="1"/>
  <c r="H11" i="8"/>
  <c r="G10" i="30"/>
  <c r="G17" i="32" l="1"/>
  <c r="J18" i="32"/>
  <c r="G18" i="32" s="1"/>
  <c r="G18" i="21"/>
  <c r="N17" i="21"/>
  <c r="G11" i="30"/>
  <c r="I10" i="8"/>
  <c r="L16" i="32"/>
  <c r="M16" i="32" s="1"/>
  <c r="I14" i="31"/>
  <c r="H30" i="30"/>
  <c r="J14" i="31" s="1"/>
  <c r="L17" i="32"/>
  <c r="J19" i="21"/>
  <c r="O18" i="32" l="1"/>
  <c r="J19" i="32"/>
  <c r="O19" i="32" s="1"/>
  <c r="G19" i="21"/>
  <c r="M17" i="32"/>
  <c r="I11" i="8"/>
  <c r="H11" i="30" s="1"/>
  <c r="H10" i="30"/>
  <c r="M18" i="21"/>
  <c r="N18" i="21" s="1"/>
  <c r="J20" i="21"/>
  <c r="G19" i="32" l="1"/>
  <c r="J20" i="32"/>
  <c r="O20" i="32" s="1"/>
  <c r="G20" i="21"/>
  <c r="L18" i="32"/>
  <c r="M18" i="32" s="1"/>
  <c r="M19" i="21"/>
  <c r="N19" i="21" s="1"/>
  <c r="J21" i="21"/>
  <c r="G20" i="32" l="1"/>
  <c r="J21" i="32"/>
  <c r="O21" i="32" s="1"/>
  <c r="G21" i="21"/>
  <c r="L19" i="32"/>
  <c r="M19" i="32" s="1"/>
  <c r="M20" i="21"/>
  <c r="N20" i="21" s="1"/>
  <c r="J22" i="21"/>
  <c r="G21" i="32" l="1"/>
  <c r="J22" i="32"/>
  <c r="O22" i="32" s="1"/>
  <c r="G22" i="21"/>
  <c r="L20" i="32"/>
  <c r="M20" i="32" s="1"/>
  <c r="J23" i="21"/>
  <c r="M21" i="21"/>
  <c r="N21" i="21" s="1"/>
  <c r="G22" i="32" l="1"/>
  <c r="J23" i="32"/>
  <c r="O23" i="32" s="1"/>
  <c r="G23" i="21"/>
  <c r="L21" i="32"/>
  <c r="M21" i="32" s="1"/>
  <c r="M22" i="21"/>
  <c r="N22" i="21" s="1"/>
  <c r="J24" i="21"/>
  <c r="G23" i="32" l="1"/>
  <c r="J24" i="32"/>
  <c r="G24" i="32" s="1"/>
  <c r="G24" i="21"/>
  <c r="L22" i="32"/>
  <c r="M22" i="32" s="1"/>
  <c r="M23" i="21"/>
  <c r="N23" i="21" s="1"/>
  <c r="J25" i="21"/>
  <c r="O24" i="32" l="1"/>
  <c r="J25" i="32"/>
  <c r="G25" i="32" s="1"/>
  <c r="G25" i="21"/>
  <c r="L23" i="32"/>
  <c r="M23" i="32" s="1"/>
  <c r="M24" i="21"/>
  <c r="N24" i="21" s="1"/>
  <c r="J26" i="21"/>
  <c r="O25" i="32" l="1"/>
  <c r="J26" i="32"/>
  <c r="G26" i="32" s="1"/>
  <c r="G26" i="21"/>
  <c r="L24" i="32"/>
  <c r="M24" i="32" s="1"/>
  <c r="M25" i="21"/>
  <c r="N25" i="21" s="1"/>
  <c r="J27" i="21"/>
  <c r="O26" i="32" l="1"/>
  <c r="J27" i="32"/>
  <c r="O27" i="32" s="1"/>
  <c r="G27" i="21"/>
  <c r="L25" i="32"/>
  <c r="M25" i="32" s="1"/>
  <c r="M26" i="21"/>
  <c r="N26" i="21" s="1"/>
  <c r="J28" i="21"/>
  <c r="G27" i="32" l="1"/>
  <c r="J28" i="32"/>
  <c r="O28" i="32" s="1"/>
  <c r="G28" i="21"/>
  <c r="L26" i="32"/>
  <c r="M26" i="32" s="1"/>
  <c r="M27" i="21"/>
  <c r="N27" i="21" s="1"/>
  <c r="J29" i="21"/>
  <c r="G28" i="32" l="1"/>
  <c r="J29" i="32"/>
  <c r="O29" i="32" s="1"/>
  <c r="F10" i="31" s="1"/>
  <c r="F12" i="31" s="1"/>
  <c r="G29" i="21"/>
  <c r="L27" i="32"/>
  <c r="M27" i="32" s="1"/>
  <c r="M28" i="21"/>
  <c r="N28" i="21" s="1"/>
  <c r="J30" i="21"/>
  <c r="G29" i="32" l="1"/>
  <c r="J30" i="32"/>
  <c r="O30" i="32" s="1"/>
  <c r="G30" i="21"/>
  <c r="L28" i="32"/>
  <c r="M28" i="32" s="1"/>
  <c r="M29" i="21"/>
  <c r="N29" i="21" s="1"/>
  <c r="J31" i="21"/>
  <c r="J31" i="32" l="1"/>
  <c r="G31" i="32" s="1"/>
  <c r="G31" i="21"/>
  <c r="G30" i="32"/>
  <c r="L29" i="32"/>
  <c r="M29" i="32" s="1"/>
  <c r="M30" i="21"/>
  <c r="N30" i="21" s="1"/>
  <c r="J32" i="21"/>
  <c r="O31" i="32" l="1"/>
  <c r="J32" i="32"/>
  <c r="G32" i="32" s="1"/>
  <c r="G32" i="21"/>
  <c r="L30" i="32"/>
  <c r="M30" i="32" s="1"/>
  <c r="M31" i="21"/>
  <c r="N31" i="21" s="1"/>
  <c r="J33" i="21"/>
  <c r="O32" i="32" l="1"/>
  <c r="J33" i="32"/>
  <c r="G33" i="32" s="1"/>
  <c r="G33" i="21"/>
  <c r="L31" i="32"/>
  <c r="M31" i="32" s="1"/>
  <c r="M32" i="21"/>
  <c r="N32" i="21" s="1"/>
  <c r="J34" i="21"/>
  <c r="O33" i="32" l="1"/>
  <c r="J34" i="32"/>
  <c r="G34" i="32" s="1"/>
  <c r="G34" i="21"/>
  <c r="L32" i="32"/>
  <c r="M32" i="32" s="1"/>
  <c r="M33" i="21"/>
  <c r="N33" i="21" s="1"/>
  <c r="J35" i="21"/>
  <c r="O34" i="32" l="1"/>
  <c r="J35" i="32"/>
  <c r="G35" i="32" s="1"/>
  <c r="G35" i="21"/>
  <c r="L33" i="32"/>
  <c r="M33" i="32" s="1"/>
  <c r="J36" i="21"/>
  <c r="M34" i="21"/>
  <c r="N34" i="21" s="1"/>
  <c r="O35" i="32" l="1"/>
  <c r="J36" i="32"/>
  <c r="G36" i="32" s="1"/>
  <c r="G36" i="21"/>
  <c r="L34" i="32"/>
  <c r="M34" i="32" s="1"/>
  <c r="M35" i="21"/>
  <c r="N35" i="21" s="1"/>
  <c r="J37" i="21"/>
  <c r="O36" i="32" l="1"/>
  <c r="J37" i="32"/>
  <c r="G37" i="32" s="1"/>
  <c r="G37" i="21"/>
  <c r="L35" i="32"/>
  <c r="M35" i="32" s="1"/>
  <c r="M36" i="21"/>
  <c r="N36" i="21" s="1"/>
  <c r="J38" i="21"/>
  <c r="O37" i="32" l="1"/>
  <c r="J38" i="32"/>
  <c r="O38" i="32" s="1"/>
  <c r="G38" i="21"/>
  <c r="L36" i="32"/>
  <c r="M36" i="32" s="1"/>
  <c r="M37" i="21"/>
  <c r="N37" i="21" s="1"/>
  <c r="J39" i="21"/>
  <c r="G38" i="32" l="1"/>
  <c r="J39" i="32"/>
  <c r="G39" i="32" s="1"/>
  <c r="G39" i="21"/>
  <c r="L37" i="32"/>
  <c r="M37" i="32" s="1"/>
  <c r="M38" i="21"/>
  <c r="N38" i="21" s="1"/>
  <c r="J40" i="21"/>
  <c r="O39" i="32" l="1"/>
  <c r="J40" i="32"/>
  <c r="O40" i="32" s="1"/>
  <c r="G40" i="21"/>
  <c r="L38" i="32"/>
  <c r="M38" i="32" s="1"/>
  <c r="M39" i="21"/>
  <c r="N39" i="21" s="1"/>
  <c r="J41" i="21"/>
  <c r="G40" i="32" l="1"/>
  <c r="J41" i="32"/>
  <c r="O41" i="32" s="1"/>
  <c r="G10" i="31" s="1"/>
  <c r="G12" i="31" s="1"/>
  <c r="G41" i="21"/>
  <c r="L39" i="32"/>
  <c r="M39" i="32" s="1"/>
  <c r="M40" i="21"/>
  <c r="N40" i="21" s="1"/>
  <c r="J42" i="21"/>
  <c r="G41" i="32" l="1"/>
  <c r="J42" i="32"/>
  <c r="O42" i="32" s="1"/>
  <c r="G42" i="21"/>
  <c r="L40" i="32"/>
  <c r="M40" i="32" s="1"/>
  <c r="M41" i="21"/>
  <c r="N41" i="21" s="1"/>
  <c r="J43" i="21"/>
  <c r="G42" i="32" l="1"/>
  <c r="J43" i="32"/>
  <c r="O43" i="32" s="1"/>
  <c r="G43" i="21"/>
  <c r="L41" i="32"/>
  <c r="M41" i="32" s="1"/>
  <c r="J44" i="21"/>
  <c r="M42" i="21"/>
  <c r="N42" i="21" s="1"/>
  <c r="G43" i="32" l="1"/>
  <c r="J44" i="32"/>
  <c r="G44" i="32" s="1"/>
  <c r="G44" i="21"/>
  <c r="L42" i="32"/>
  <c r="M42" i="32" s="1"/>
  <c r="M43" i="21"/>
  <c r="N43" i="21" s="1"/>
  <c r="J45" i="21"/>
  <c r="O44" i="32" l="1"/>
  <c r="J45" i="32"/>
  <c r="O45" i="32" s="1"/>
  <c r="G45" i="21"/>
  <c r="L43" i="32"/>
  <c r="M43" i="32" s="1"/>
  <c r="M44" i="21"/>
  <c r="N44" i="21" s="1"/>
  <c r="J46" i="21"/>
  <c r="G45" i="32" l="1"/>
  <c r="J46" i="32"/>
  <c r="O46" i="32" s="1"/>
  <c r="G46" i="21"/>
  <c r="L44" i="32"/>
  <c r="M44" i="32" s="1"/>
  <c r="M45" i="21"/>
  <c r="N45" i="21" s="1"/>
  <c r="J47" i="21"/>
  <c r="G46" i="32" l="1"/>
  <c r="J47" i="32"/>
  <c r="O47" i="32" s="1"/>
  <c r="G47" i="21"/>
  <c r="L45" i="32"/>
  <c r="M45" i="32" s="1"/>
  <c r="M46" i="21"/>
  <c r="N46" i="21" s="1"/>
  <c r="J48" i="21"/>
  <c r="G47" i="32" l="1"/>
  <c r="J48" i="32"/>
  <c r="G48" i="32" s="1"/>
  <c r="G48" i="21"/>
  <c r="L46" i="32"/>
  <c r="M46" i="32" s="1"/>
  <c r="M47" i="21"/>
  <c r="N47" i="21" s="1"/>
  <c r="J49" i="21"/>
  <c r="O48" i="32" l="1"/>
  <c r="J49" i="32"/>
  <c r="G49" i="32" s="1"/>
  <c r="G49" i="21"/>
  <c r="L47" i="32"/>
  <c r="M47" i="32" s="1"/>
  <c r="J50" i="21"/>
  <c r="M48" i="21"/>
  <c r="N48" i="21" s="1"/>
  <c r="O49" i="32" l="1"/>
  <c r="J50" i="32"/>
  <c r="O50" i="32" s="1"/>
  <c r="G50" i="21"/>
  <c r="L48" i="32"/>
  <c r="M48" i="32" s="1"/>
  <c r="M49" i="21"/>
  <c r="N49" i="21" s="1"/>
  <c r="J51" i="21"/>
  <c r="G50" i="32" l="1"/>
  <c r="J51" i="32"/>
  <c r="G51" i="32" s="1"/>
  <c r="G51" i="21"/>
  <c r="L49" i="32"/>
  <c r="M49" i="32" s="1"/>
  <c r="J52" i="21"/>
  <c r="M50" i="21"/>
  <c r="N50" i="21" s="1"/>
  <c r="O51" i="32" l="1"/>
  <c r="J52" i="32"/>
  <c r="O52" i="32" s="1"/>
  <c r="G52" i="21"/>
  <c r="L50" i="32"/>
  <c r="M50" i="32" s="1"/>
  <c r="M51" i="21"/>
  <c r="N51" i="21" s="1"/>
  <c r="J53" i="21"/>
  <c r="G52" i="32" l="1"/>
  <c r="J53" i="32"/>
  <c r="O53" i="32" s="1"/>
  <c r="H10" i="31" s="1"/>
  <c r="H12" i="31" s="1"/>
  <c r="G53" i="21"/>
  <c r="L51" i="32"/>
  <c r="M51" i="32" s="1"/>
  <c r="M52" i="21"/>
  <c r="N52" i="21" s="1"/>
  <c r="J54" i="21"/>
  <c r="G53" i="32" l="1"/>
  <c r="J54" i="32"/>
  <c r="G54" i="32" s="1"/>
  <c r="G54" i="21"/>
  <c r="L52" i="32"/>
  <c r="M52" i="32" s="1"/>
  <c r="M53" i="21"/>
  <c r="N53" i="21" s="1"/>
  <c r="J55" i="21"/>
  <c r="O54" i="32" l="1"/>
  <c r="J55" i="32"/>
  <c r="G55" i="32" s="1"/>
  <c r="G55" i="21"/>
  <c r="L53" i="32"/>
  <c r="M53" i="32" s="1"/>
  <c r="J56" i="21"/>
  <c r="M54" i="21"/>
  <c r="N54" i="21" s="1"/>
  <c r="O55" i="32" l="1"/>
  <c r="J56" i="32"/>
  <c r="O56" i="32" s="1"/>
  <c r="G56" i="21"/>
  <c r="L54" i="32"/>
  <c r="M54" i="32" s="1"/>
  <c r="M55" i="21"/>
  <c r="N55" i="21" s="1"/>
  <c r="J57" i="21"/>
  <c r="G56" i="32" l="1"/>
  <c r="J57" i="32"/>
  <c r="O57" i="32" s="1"/>
  <c r="G57" i="21"/>
  <c r="L55" i="32"/>
  <c r="M55" i="32" s="1"/>
  <c r="M56" i="21"/>
  <c r="N56" i="21" s="1"/>
  <c r="J58" i="21"/>
  <c r="G57" i="32" l="1"/>
  <c r="J58" i="32"/>
  <c r="O58" i="32" s="1"/>
  <c r="G58" i="21"/>
  <c r="L56" i="32"/>
  <c r="M56" i="32" s="1"/>
  <c r="M57" i="21"/>
  <c r="N57" i="21" s="1"/>
  <c r="J59" i="21"/>
  <c r="G58" i="32" l="1"/>
  <c r="J59" i="32"/>
  <c r="G59" i="32" s="1"/>
  <c r="G59" i="21"/>
  <c r="L57" i="32"/>
  <c r="M57" i="32" s="1"/>
  <c r="M58" i="21"/>
  <c r="L58" i="32" s="1"/>
  <c r="J60" i="21"/>
  <c r="O59" i="32" l="1"/>
  <c r="J60" i="32"/>
  <c r="G60" i="32" s="1"/>
  <c r="G60" i="21"/>
  <c r="M58" i="32"/>
  <c r="N58" i="21"/>
  <c r="M59" i="21"/>
  <c r="L59" i="32" s="1"/>
  <c r="J61" i="21"/>
  <c r="M59" i="32" l="1"/>
  <c r="O60" i="32"/>
  <c r="J61" i="32"/>
  <c r="G61" i="32" s="1"/>
  <c r="G61" i="21"/>
  <c r="N59" i="21"/>
  <c r="M60" i="21"/>
  <c r="L60" i="32" s="1"/>
  <c r="M60" i="32" s="1"/>
  <c r="J62" i="21"/>
  <c r="O61" i="32" l="1"/>
  <c r="J62" i="32"/>
  <c r="O62" i="32" s="1"/>
  <c r="G62" i="21"/>
  <c r="N60" i="21"/>
  <c r="M61" i="21"/>
  <c r="L61" i="32" s="1"/>
  <c r="M61" i="32" s="1"/>
  <c r="J63" i="21"/>
  <c r="G62" i="32" l="1"/>
  <c r="J63" i="32"/>
  <c r="G63" i="32" s="1"/>
  <c r="G63" i="21"/>
  <c r="N61" i="21"/>
  <c r="J64" i="21"/>
  <c r="M62" i="21"/>
  <c r="L62" i="32" s="1"/>
  <c r="M62" i="32" s="1"/>
  <c r="O63" i="32" l="1"/>
  <c r="J64" i="32"/>
  <c r="O64" i="32" s="1"/>
  <c r="G64" i="21"/>
  <c r="N62" i="21"/>
  <c r="M63" i="21"/>
  <c r="L63" i="32" s="1"/>
  <c r="M63" i="32" s="1"/>
  <c r="J65" i="21"/>
  <c r="G64" i="32" l="1"/>
  <c r="J65" i="32"/>
  <c r="G65" i="32" s="1"/>
  <c r="G65" i="21"/>
  <c r="N63" i="21"/>
  <c r="J66" i="21"/>
  <c r="M64" i="21"/>
  <c r="L64" i="32" s="1"/>
  <c r="M64" i="32" s="1"/>
  <c r="O65" i="32" l="1"/>
  <c r="I10" i="31" s="1"/>
  <c r="I12" i="31" s="1"/>
  <c r="J66" i="32"/>
  <c r="O66" i="32" s="1"/>
  <c r="G66" i="21"/>
  <c r="N64" i="21"/>
  <c r="M65" i="21"/>
  <c r="L65" i="32" s="1"/>
  <c r="M65" i="32" s="1"/>
  <c r="J67" i="21"/>
  <c r="G67" i="21" s="1"/>
  <c r="G66" i="32" l="1"/>
  <c r="N65" i="21"/>
  <c r="M67" i="21"/>
  <c r="J67" i="32"/>
  <c r="M66" i="21"/>
  <c r="L66" i="32" s="1"/>
  <c r="M66" i="32" s="1"/>
  <c r="N66" i="21" l="1"/>
  <c r="N67" i="21" s="1"/>
  <c r="E4" i="21" s="1"/>
  <c r="G67" i="32"/>
  <c r="O67" i="32"/>
  <c r="J10" i="31" s="1"/>
  <c r="J12" i="31" s="1"/>
  <c r="C18" i="31" l="1"/>
  <c r="F12" i="18"/>
  <c r="L67" i="32"/>
  <c r="M67" i="32" s="1"/>
  <c r="E4" i="32" s="1"/>
  <c r="D18" i="31" s="1"/>
  <c r="E18" i="3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10" authorId="0" shapeId="0" xr:uid="{41FF9268-735F-4BCA-BE51-C5E55D17775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 в год 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21" authorId="0" shapeId="0" xr:uid="{698470F6-EBD6-4A34-A666-CF2CABF705D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Выбирается период, когда осуществлены все инвестиции и следующий за ним месяц, с положительным денежным потоком.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21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Выбирается период, когда осуществлены все инвестиции и следующий за ним месяц, с положительным денежным потоком.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22" authorId="0" shapeId="0" xr:uid="{5031D31D-5E64-4665-A353-B1BC8DC1911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Выбирается период, когда осуществлены все инвестиции и следующий за ним месяц, с положительным денежным потоком.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K22" authorId="0" shapeId="0" xr:uid="{9EA89BE8-A984-41EA-A1C4-ECF1DF0DD43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счёт роста оптовых продаж..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R5" authorId="0" shapeId="0" xr:uid="{54093572-EA46-460C-BB63-AFA5D80CBE8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Каждое подразделение за 1, кроме опта 0,5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O6" authorId="0" shapeId="0" xr:uid="{A03AE599-5520-447C-A98E-FCF37D85F2E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Проверка, что денег хватает…. Стлб. 14 &gt; Проверки Окупаемости - тогда денег хватает..</t>
        </r>
      </text>
    </comment>
    <comment ref="N19" authorId="0" shapeId="0" xr:uid="{E2B478A9-367C-4B8A-AD39-26A8896CB1F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единица показывает 1 месяц, когда выходим на окупаемость….</t>
        </r>
      </text>
    </comment>
    <comment ref="B21" authorId="0" shapeId="0" xr:uid="{00000000-0006-0000-0F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Выбирается период, когда осуществлены все инвестиции и следующий за ним месяц, с положительным денежным потоком.</t>
        </r>
      </text>
    </comment>
    <comment ref="O23" authorId="0" shapeId="0" xr:uid="{D59FF647-AA8C-4D76-BE3B-B7E1256A8C4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Можно досрочно начинать гасить...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21" authorId="0" shapeId="0" xr:uid="{B5E4CDE9-913D-428E-961A-9CE5405B7D5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Выбирается период, когда осуществлены все инвестиции и следующий за ним месяц, с положительным денежным потоком.</t>
        </r>
      </text>
    </comment>
  </commentList>
</comments>
</file>

<file path=xl/sharedStrings.xml><?xml version="1.0" encoding="utf-8"?>
<sst xmlns="http://schemas.openxmlformats.org/spreadsheetml/2006/main" count="845" uniqueCount="444">
  <si>
    <t>будние</t>
  </si>
  <si>
    <t>выходные</t>
  </si>
  <si>
    <t>Время. Начало</t>
  </si>
  <si>
    <t>Время. Конец</t>
  </si>
  <si>
    <t>Часов работы</t>
  </si>
  <si>
    <t>Дней в месяце</t>
  </si>
  <si>
    <t>Рабочее время</t>
  </si>
  <si>
    <t>Месяц</t>
  </si>
  <si>
    <t>Период проекта, лет</t>
  </si>
  <si>
    <t>Дата начала проекта</t>
  </si>
  <si>
    <t>Месяц начала</t>
  </si>
  <si>
    <t>Сезон</t>
  </si>
  <si>
    <t>Зима</t>
  </si>
  <si>
    <t>Весна</t>
  </si>
  <si>
    <t>Лето</t>
  </si>
  <si>
    <t>Осень</t>
  </si>
  <si>
    <t>К-ты сезонности</t>
  </si>
  <si>
    <t>К-т сезонности</t>
  </si>
  <si>
    <t>Комплекс 1</t>
  </si>
  <si>
    <t>Комплекс 2</t>
  </si>
  <si>
    <t>Комплекс 3</t>
  </si>
  <si>
    <t>Комплекс 4</t>
  </si>
  <si>
    <t>Услуга:</t>
  </si>
  <si>
    <t>часов на 1 мастера</t>
  </si>
  <si>
    <t>Норматив, часов</t>
  </si>
  <si>
    <t>Цена реализации</t>
  </si>
  <si>
    <t>Группа</t>
  </si>
  <si>
    <t>Сумма</t>
  </si>
  <si>
    <t>Салон</t>
  </si>
  <si>
    <t>Наименование</t>
  </si>
  <si>
    <t>Оборотный капитал</t>
  </si>
  <si>
    <t>Кол-во</t>
  </si>
  <si>
    <t>Цена за ед</t>
  </si>
  <si>
    <t>Ед. изм.</t>
  </si>
  <si>
    <t>Общие</t>
  </si>
  <si>
    <t>№ п.п</t>
  </si>
  <si>
    <t>Дата окончания проекта</t>
  </si>
  <si>
    <t>К-т сценария</t>
  </si>
  <si>
    <t>Реалистичный</t>
  </si>
  <si>
    <t>Оптимистичный</t>
  </si>
  <si>
    <t>Пессимистичный</t>
  </si>
  <si>
    <t>Сценарий</t>
  </si>
  <si>
    <t>Средневзвешенное, кол-во раб. Часов в день</t>
  </si>
  <si>
    <t>Загрузка</t>
  </si>
  <si>
    <t>Макс. Клиентов на мастера</t>
  </si>
  <si>
    <t>№ периода</t>
  </si>
  <si>
    <t>Год</t>
  </si>
  <si>
    <t>Дата</t>
  </si>
  <si>
    <t>Этапы проекта:</t>
  </si>
  <si>
    <t>Дата начала</t>
  </si>
  <si>
    <t>Дата окончания</t>
  </si>
  <si>
    <t>Этап</t>
  </si>
  <si>
    <t>Длит. Дн</t>
  </si>
  <si>
    <t>Подготовительный</t>
  </si>
  <si>
    <t>Эксплуатационная</t>
  </si>
  <si>
    <t>Ежемесячные затраты</t>
  </si>
  <si>
    <t>Реклама и маркетинг</t>
  </si>
  <si>
    <t xml:space="preserve">Статья </t>
  </si>
  <si>
    <t>Аренда</t>
  </si>
  <si>
    <t>АХО</t>
  </si>
  <si>
    <t>Валовая прибыль</t>
  </si>
  <si>
    <t>Себестоимость.Материалы</t>
  </si>
  <si>
    <t>Премия мастера</t>
  </si>
  <si>
    <t>Итого себестоимость:</t>
  </si>
  <si>
    <t>6% УСН</t>
  </si>
  <si>
    <t>В год</t>
  </si>
  <si>
    <t>Операционные</t>
  </si>
  <si>
    <t>Заработная плата</t>
  </si>
  <si>
    <t>Поступление займов</t>
  </si>
  <si>
    <t>Погашение займов</t>
  </si>
  <si>
    <t>% выплаченные</t>
  </si>
  <si>
    <t>I.Инвестиции</t>
  </si>
  <si>
    <t>II.Валовая прибыль от операционной деятельности</t>
  </si>
  <si>
    <t>IIa.Постоянные расходы</t>
  </si>
  <si>
    <t>IV.Кредиты и займы</t>
  </si>
  <si>
    <t>Период начала</t>
  </si>
  <si>
    <t>Период</t>
  </si>
  <si>
    <t>Период найма</t>
  </si>
  <si>
    <t>Должность</t>
  </si>
  <si>
    <t>Фикс. Часть</t>
  </si>
  <si>
    <t>Взносы</t>
  </si>
  <si>
    <t>Месяц найма</t>
  </si>
  <si>
    <t>Год инвестирования</t>
  </si>
  <si>
    <t>Прединвестиционная</t>
  </si>
  <si>
    <t>Инвестиционная</t>
  </si>
  <si>
    <t>Итого:</t>
  </si>
  <si>
    <t>Структура</t>
  </si>
  <si>
    <t>Взвеш. Время</t>
  </si>
  <si>
    <t>Ср. взвеш. Чек</t>
  </si>
  <si>
    <t>Ср. взвеш. Себ</t>
  </si>
  <si>
    <t>Ожидаемая прибыль</t>
  </si>
  <si>
    <t>Кол-во оказанных услуг за период</t>
  </si>
  <si>
    <t>Новых клиентов</t>
  </si>
  <si>
    <t>Структура клиентов по числу визитов</t>
  </si>
  <si>
    <t>Среднея периодичность визитов (в месяцах)</t>
  </si>
  <si>
    <t>Число клиентов</t>
  </si>
  <si>
    <t>Скидка за 1 посещение</t>
  </si>
  <si>
    <t>Скидка 5 бесплатное поесещение</t>
  </si>
  <si>
    <t>Скидка за первое посещение</t>
  </si>
  <si>
    <t>Cкидка за первое посещение</t>
  </si>
  <si>
    <t>Скидка с первого посещения</t>
  </si>
  <si>
    <t>Нет</t>
  </si>
  <si>
    <t>5-ое бесплатное посешение</t>
  </si>
  <si>
    <t>5-ое бесплатное</t>
  </si>
  <si>
    <t>Объекты инвестирования</t>
  </si>
  <si>
    <t>Этапы</t>
  </si>
  <si>
    <t>Расчёт скидки и посещений</t>
  </si>
  <si>
    <t>Число визитов</t>
  </si>
  <si>
    <t>Доля</t>
  </si>
  <si>
    <t>Настройки:</t>
  </si>
  <si>
    <t>План продаж</t>
  </si>
  <si>
    <t>Служебные поля</t>
  </si>
  <si>
    <t>Числ. Мастеров</t>
  </si>
  <si>
    <t>Скидки</t>
  </si>
  <si>
    <t>Справочник.События</t>
  </si>
  <si>
    <t>Таблица сезонности:</t>
  </si>
  <si>
    <t>Ставка дисконтирования:</t>
  </si>
  <si>
    <t>Коэффициент дисконтирования</t>
  </si>
  <si>
    <t>DCF</t>
  </si>
  <si>
    <t>Cum. DCF</t>
  </si>
  <si>
    <t>Ставка дисконтирования (%)</t>
  </si>
  <si>
    <t>изменить</t>
  </si>
  <si>
    <t>Дата начала реализации проекта</t>
  </si>
  <si>
    <t>Период планирования</t>
  </si>
  <si>
    <t>НАЗВАНИЕ ПАРАМЕТРА</t>
  </si>
  <si>
    <t>ОБОЗНАЧЕНИЕ</t>
  </si>
  <si>
    <t>ЗНАЧЕНИЕ ПЕРАМЕРТА</t>
  </si>
  <si>
    <t>КОММЕНТАРИЙ</t>
  </si>
  <si>
    <t>Привлечено доп. инвестиций</t>
  </si>
  <si>
    <t>RUR</t>
  </si>
  <si>
    <t/>
  </si>
  <si>
    <t>РР</t>
  </si>
  <si>
    <t>Внутренняя норма прибыли</t>
  </si>
  <si>
    <t>IRR</t>
  </si>
  <si>
    <t>Чистая приведенная стоимость</t>
  </si>
  <si>
    <t>NPV</t>
  </si>
  <si>
    <t>Событие</t>
  </si>
  <si>
    <t>Что делаем на этапе ?</t>
  </si>
  <si>
    <t>Общий итог</t>
  </si>
  <si>
    <t>Названия строк</t>
  </si>
  <si>
    <t>Сумма по полю Салон 1</t>
  </si>
  <si>
    <t>Сумма по полю Имидж салон</t>
  </si>
  <si>
    <t>Сумма по полю Салон 2</t>
  </si>
  <si>
    <t>Постоянные операционные расходы по подразделениям</t>
  </si>
  <si>
    <t>Настройки проекта</t>
  </si>
  <si>
    <t>Cum. CF</t>
  </si>
  <si>
    <t>Вклады собственников</t>
  </si>
  <si>
    <t>Cash-flow (CF)</t>
  </si>
  <si>
    <t>Денежных средств на начало периода</t>
  </si>
  <si>
    <t>Денежных средств на конец периода</t>
  </si>
  <si>
    <t>Привязка к событию</t>
  </si>
  <si>
    <t>Справочник.Сценарии</t>
  </si>
  <si>
    <t>Сезонность</t>
  </si>
  <si>
    <t>Сумма по полю Итого:</t>
  </si>
  <si>
    <t>Выручка и себестоимость</t>
  </si>
  <si>
    <t>Структура сбыта:</t>
  </si>
  <si>
    <t>Часы работы</t>
  </si>
  <si>
    <t>Средний чек</t>
  </si>
  <si>
    <t>Макс. Клиентов на мастера (с учётом сценария)</t>
  </si>
  <si>
    <t>Среднея маржинальность</t>
  </si>
  <si>
    <t>Нормативы времени:</t>
  </si>
  <si>
    <t>Время</t>
  </si>
  <si>
    <t>Пропускная способность:</t>
  </si>
  <si>
    <t>Маржа</t>
  </si>
  <si>
    <t>% маржи</t>
  </si>
  <si>
    <t>Услуги и цены</t>
  </si>
  <si>
    <t>Среднея маржа</t>
  </si>
  <si>
    <t>Выручка</t>
  </si>
  <si>
    <t>Параметры проекта:</t>
  </si>
  <si>
    <t>Постоянные затраты</t>
  </si>
  <si>
    <t>Переменные затраты</t>
  </si>
  <si>
    <t>Безубыточный объём выручки</t>
  </si>
  <si>
    <t>Анализ точки безубыточности:</t>
  </si>
  <si>
    <t>Точка безубыточности:</t>
  </si>
  <si>
    <t>Точка безубыточности (в объёме услуг):</t>
  </si>
  <si>
    <t>Средне число визитов на посетителя</t>
  </si>
  <si>
    <t>CF (Инвестиции+Операционная деятельность)</t>
  </si>
  <si>
    <t>Инвестиции</t>
  </si>
  <si>
    <t>Период инвестирования</t>
  </si>
  <si>
    <t>Постоянные расходы</t>
  </si>
  <si>
    <t>Персонал</t>
  </si>
  <si>
    <t>Возмещение</t>
  </si>
  <si>
    <t>Проверка окупаемости</t>
  </si>
  <si>
    <t>Срок окупаемости, месяцев</t>
  </si>
  <si>
    <t>№ п/п периода начала</t>
  </si>
  <si>
    <t>№ п/п периода окончания</t>
  </si>
  <si>
    <t>Дата привлечения</t>
  </si>
  <si>
    <t>Сумма кредита</t>
  </si>
  <si>
    <t>% ставка</t>
  </si>
  <si>
    <t>№ периода привлечения</t>
  </si>
  <si>
    <t>Долг на начало</t>
  </si>
  <si>
    <t>Получение займов</t>
  </si>
  <si>
    <t>Выплачено</t>
  </si>
  <si>
    <t>Долг на конец</t>
  </si>
  <si>
    <t>Срок кредита</t>
  </si>
  <si>
    <t>Долг по %</t>
  </si>
  <si>
    <t>% начисленные</t>
  </si>
  <si>
    <t>Остаток долга</t>
  </si>
  <si>
    <t>Досрочно погашено</t>
  </si>
  <si>
    <t>Показатели:</t>
  </si>
  <si>
    <t>Показатели инвестиционного проекта:</t>
  </si>
  <si>
    <t>Сумма в год</t>
  </si>
  <si>
    <t>В месяц</t>
  </si>
  <si>
    <t>Ежемесячные затраты на персонал</t>
  </si>
  <si>
    <t>Расчёт окупаемости</t>
  </si>
  <si>
    <t>Периодом окупаемости признаётся период, когда осуществлены все инвестиции и следующий за ним месяц, с положительным денежным потоком.</t>
  </si>
  <si>
    <t>Заёмные средства:</t>
  </si>
  <si>
    <t>Сумма по полю Скидка за 1 посещение</t>
  </si>
  <si>
    <t>Сумма по полю % от выручки (скидка 1 посещение)</t>
  </si>
  <si>
    <t>Величина скидки за 1 посещение</t>
  </si>
  <si>
    <t>Отчёт о движение денежных средств по проекту</t>
  </si>
  <si>
    <t>Сезоны:</t>
  </si>
  <si>
    <t>Выручка Салон 1</t>
  </si>
  <si>
    <t>Выручка Имидж-Салон</t>
  </si>
  <si>
    <t>Выручка Салон 2</t>
  </si>
  <si>
    <t>Запас фин. Прочности</t>
  </si>
  <si>
    <t>% Премии мастера</t>
  </si>
  <si>
    <t>проект может быть принят кредитной организацией</t>
  </si>
  <si>
    <t>Подразделение</t>
  </si>
  <si>
    <t>Справочник.Подразделения</t>
  </si>
  <si>
    <t>Себестоимость</t>
  </si>
  <si>
    <t>Налог 6%</t>
  </si>
  <si>
    <t>Выберите подразделение</t>
  </si>
  <si>
    <t>Все</t>
  </si>
  <si>
    <t>Амортизация</t>
  </si>
  <si>
    <t>в том числе:</t>
  </si>
  <si>
    <t>Материалы</t>
  </si>
  <si>
    <t>Число месяцев в году</t>
  </si>
  <si>
    <t>Кон. Период</t>
  </si>
  <si>
    <t>Чистая прибыль</t>
  </si>
  <si>
    <t>Кон.периода</t>
  </si>
  <si>
    <t>Среднемесячная прибыль:</t>
  </si>
  <si>
    <t>Отчёт о прибылях и убытках</t>
  </si>
  <si>
    <t>Рентабельность, %</t>
  </si>
  <si>
    <t>Маржинальный доход от продаж</t>
  </si>
  <si>
    <t>Доход первые 4 месяца</t>
  </si>
  <si>
    <t>Точка продаж №1</t>
  </si>
  <si>
    <t>в день</t>
  </si>
  <si>
    <t>Точка продаж №2</t>
  </si>
  <si>
    <t>Оптовые поставки</t>
  </si>
  <si>
    <t>Розничные продажи через интернет магазин</t>
  </si>
  <si>
    <t>ПериодНачала</t>
  </si>
  <si>
    <t>ПериодОкончания</t>
  </si>
  <si>
    <t>Раб.дн</t>
  </si>
  <si>
    <t>№</t>
  </si>
  <si>
    <t>вес,гр</t>
  </si>
  <si>
    <t>Сырьевая себистоимость</t>
  </si>
  <si>
    <t>Цена на полке минимальная</t>
  </si>
  <si>
    <t>Цена на полке оптимальная</t>
  </si>
  <si>
    <t>Хлеб</t>
  </si>
  <si>
    <t>Багет</t>
  </si>
  <si>
    <t>Мини багет</t>
  </si>
  <si>
    <t>Хлеб деревенский</t>
  </si>
  <si>
    <t>Хлеб ржаной на закваске</t>
  </si>
  <si>
    <t>Хлеб ржано-пшеничный</t>
  </si>
  <si>
    <t>Хлеб ржаной с сухофруктами</t>
  </si>
  <si>
    <t>Хлеб пшеничный из цельнозерновой муки</t>
  </si>
  <si>
    <t xml:space="preserve">Батон нарезной </t>
  </si>
  <si>
    <t>Хлеб с розмарином</t>
  </si>
  <si>
    <t>Хлеб бородинский</t>
  </si>
  <si>
    <t>Изделия из слоеного теста</t>
  </si>
  <si>
    <t>Круассан классический</t>
  </si>
  <si>
    <t>Пен шоколя</t>
  </si>
  <si>
    <t>Улитка с заварным кремом</t>
  </si>
  <si>
    <t>Улитка с шоколадом</t>
  </si>
  <si>
    <t>Галстук из слоеного теста с карамелью</t>
  </si>
  <si>
    <t>Шассон с яблоками</t>
  </si>
  <si>
    <t>Денишь с кремом и ягодами</t>
  </si>
  <si>
    <t xml:space="preserve">Денишь шоколад-карамель </t>
  </si>
  <si>
    <t>Слоеная ватрушка с ягодами</t>
  </si>
  <si>
    <t>Тарт татан (кусок)</t>
  </si>
  <si>
    <t>Сдобные изделия</t>
  </si>
  <si>
    <t>Ватрушка с творогом</t>
  </si>
  <si>
    <t>Ватрушка с повидлом</t>
  </si>
  <si>
    <t>Бриошь с орехами</t>
  </si>
  <si>
    <t>Плюшка Московская</t>
  </si>
  <si>
    <t>Пирожок с мясом</t>
  </si>
  <si>
    <t>Пирожок с картофелем</t>
  </si>
  <si>
    <t>Пирожок с капустой</t>
  </si>
  <si>
    <t>Пирожок с рисом и грибами</t>
  </si>
  <si>
    <t>Булочка для гамбургера классическая</t>
  </si>
  <si>
    <t>Булочка для гамбургера черная</t>
  </si>
  <si>
    <t>Печенье, дессерты</t>
  </si>
  <si>
    <t>Печенье песочное ванильное</t>
  </si>
  <si>
    <t>Печенье песочное шоколадное</t>
  </si>
  <si>
    <t>Печенье с белым шоколадом и розовым перцем</t>
  </si>
  <si>
    <t>Безе</t>
  </si>
  <si>
    <t>Маффин с черной смородиной</t>
  </si>
  <si>
    <t>Маффин с шоколадом</t>
  </si>
  <si>
    <t>Капкейк с карамелью</t>
  </si>
  <si>
    <t>Капкейк с шоколадом</t>
  </si>
  <si>
    <t>Капкейк с ягодой</t>
  </si>
  <si>
    <t>Шоколадный брауни</t>
  </si>
  <si>
    <t>Доля в ассортименте</t>
  </si>
  <si>
    <t>Маржинальный доход (Мин)</t>
  </si>
  <si>
    <t>Маржинальный доход (Макс)</t>
  </si>
  <si>
    <t>Среднея</t>
  </si>
  <si>
    <t>% Наценка (мин)</t>
  </si>
  <si>
    <t>% Наценка (макс)</t>
  </si>
  <si>
    <t>% маржи  (мин)</t>
  </si>
  <si>
    <t>% маржи (макс)</t>
  </si>
  <si>
    <t>% наценка опт (мин)</t>
  </si>
  <si>
    <t>% наценка опт (макс)</t>
  </si>
  <si>
    <t>% маржи опт (мин)</t>
  </si>
  <si>
    <t>% маржи опт(макс)</t>
  </si>
  <si>
    <t>Цена опт Мин</t>
  </si>
  <si>
    <t>Цена опт Макс</t>
  </si>
  <si>
    <t>Вариант цены (Розн)</t>
  </si>
  <si>
    <t>Вариант цены (Опт)</t>
  </si>
  <si>
    <t>Оплата договора с прачечноей</t>
  </si>
  <si>
    <t>Оплата догоовора на мед.обсуживание</t>
  </si>
  <si>
    <t>Бухгалтерское обслуживание</t>
  </si>
  <si>
    <t xml:space="preserve">Оплата программы по учету </t>
  </si>
  <si>
    <t>Оплата договоров по дизенсекции дизенфекции и дератизации</t>
  </si>
  <si>
    <t>Оплата договора по очистки вытяжки</t>
  </si>
  <si>
    <t>Аренда производства</t>
  </si>
  <si>
    <t>Аренда точки продаж №1</t>
  </si>
  <si>
    <t>Аренда точки продаж №2</t>
  </si>
  <si>
    <t>Закпка ингредиентов (сырья)</t>
  </si>
  <si>
    <t>Непредвиденные расходы</t>
  </si>
  <si>
    <t>Расходные материлы</t>
  </si>
  <si>
    <t xml:space="preserve">Интернет реклама </t>
  </si>
  <si>
    <t>Коммунальные услуги на все точки продаж</t>
  </si>
  <si>
    <t>Коммунальные услуги на производство</t>
  </si>
  <si>
    <t>Расходы на производство</t>
  </si>
  <si>
    <t>Открытие 1 розничной точки</t>
  </si>
  <si>
    <t>Открытие 2 розничной точки</t>
  </si>
  <si>
    <t>Открытие интернет-магазина</t>
  </si>
  <si>
    <t>Открытие оптовых продаж</t>
  </si>
  <si>
    <t>Прибыль до налогов</t>
  </si>
  <si>
    <t>Производственный персонал</t>
  </si>
  <si>
    <t>Пресонал на торговых точках</t>
  </si>
  <si>
    <t>Продавцы</t>
  </si>
  <si>
    <t>Персонал на торговых точках</t>
  </si>
  <si>
    <t>Налогооблагаемая часть</t>
  </si>
  <si>
    <t>Расшифровка постоянные затраты</t>
  </si>
  <si>
    <t>Группа постоянных затрат</t>
  </si>
  <si>
    <t>Сумма по полю АХО</t>
  </si>
  <si>
    <t>Сумма по полю Аренда</t>
  </si>
  <si>
    <t>Сумма по полю Расходы на производство</t>
  </si>
  <si>
    <t>Сумма по полю Реклама и маркетинг</t>
  </si>
  <si>
    <t>Микроволновая печь миню мастер</t>
  </si>
  <si>
    <t>Стол производственный</t>
  </si>
  <si>
    <t>Раковина для мытья рук</t>
  </si>
  <si>
    <t>Бачки для мыла и дез средства</t>
  </si>
  <si>
    <t>Шкаф для раздевалки</t>
  </si>
  <si>
    <t>Скамья для раздевалки</t>
  </si>
  <si>
    <t>Полки настенные</t>
  </si>
  <si>
    <t>Кофемашинам (аренда)</t>
  </si>
  <si>
    <t>Кофемолка (аренда)</t>
  </si>
  <si>
    <t>Стол холодильный</t>
  </si>
  <si>
    <t>Витрина холодильная</t>
  </si>
  <si>
    <t>Весы производственные до 5 кг</t>
  </si>
  <si>
    <t>Кассовый терминал (набор)</t>
  </si>
  <si>
    <t>ipad для терминала</t>
  </si>
  <si>
    <t>Торговая мебель</t>
  </si>
  <si>
    <t>Мебель для зала (столы, стулья)</t>
  </si>
  <si>
    <t>Прочее оборудование и мелкий инвентарь</t>
  </si>
  <si>
    <t>Итого</t>
  </si>
  <si>
    <t>Оборудование для розничных точек</t>
  </si>
  <si>
    <t>Оборудование пекарни</t>
  </si>
  <si>
    <t>Оборудование для производства</t>
  </si>
  <si>
    <t>Инвентарь для производства</t>
  </si>
  <si>
    <t>Cрок амортизации, мес.</t>
  </si>
  <si>
    <t>Открытие производства</t>
  </si>
  <si>
    <t>Амортизация начисленная, накопленная</t>
  </si>
  <si>
    <t>Амортизация начисленная, по периодам</t>
  </si>
  <si>
    <t>Проектные работы:</t>
  </si>
  <si>
    <t>Ремонтные работы:</t>
  </si>
  <si>
    <t>Аренда последний месяц точка продаж №2</t>
  </si>
  <si>
    <t>Аренда последний месяц точка продаж №1</t>
  </si>
  <si>
    <t>Аренда последний месяц производство</t>
  </si>
  <si>
    <t>Услуги риэлтора по аренде производственного помещения</t>
  </si>
  <si>
    <t>Число периодов</t>
  </si>
  <si>
    <t>Налог УСН 15%</t>
  </si>
  <si>
    <t>Налог на УСН</t>
  </si>
  <si>
    <t>К-т маржи</t>
  </si>
  <si>
    <t>Ср.Цена (розн)</t>
  </si>
  <si>
    <t>Ср.Цена (опт)</t>
  </si>
  <si>
    <t>Продажи в шт.</t>
  </si>
  <si>
    <t>В день</t>
  </si>
  <si>
    <t>В час</t>
  </si>
  <si>
    <t>В час на 1 точку</t>
  </si>
  <si>
    <t>Кол-во клиентов в 1 час в 1 точке</t>
  </si>
  <si>
    <t>Время обслуживания, мин.</t>
  </si>
  <si>
    <t>Ср. кол-во позиций в 1 чеке</t>
  </si>
  <si>
    <t>План продаж, в шт.</t>
  </si>
  <si>
    <t>Ср. Цена</t>
  </si>
  <si>
    <t>Cр. Цена</t>
  </si>
  <si>
    <t>Безубыточный объём продаж</t>
  </si>
  <si>
    <t>Активных периодов</t>
  </si>
  <si>
    <t>Безубыточный объём. В шт.</t>
  </si>
  <si>
    <t>Заработная плата, фиксированная (По подразделениям)</t>
  </si>
  <si>
    <t>Заработная плата, фиксированная (По видам)</t>
  </si>
  <si>
    <t>Фикс</t>
  </si>
  <si>
    <t>Белая</t>
  </si>
  <si>
    <t>Налоги</t>
  </si>
  <si>
    <t>Интернет-магазин</t>
  </si>
  <si>
    <t>Ту и декларация EAC</t>
  </si>
  <si>
    <t>Оплата программы для отправки отчетности (на год)</t>
  </si>
  <si>
    <t>Точка безубыточности (По уровню пост. Затрат)</t>
  </si>
  <si>
    <t>% изм</t>
  </si>
  <si>
    <t>Операционные расходы</t>
  </si>
  <si>
    <t>Валовая прибыль:</t>
  </si>
  <si>
    <t>Премия за продажи</t>
  </si>
  <si>
    <t>Пекар-кондитер</t>
  </si>
  <si>
    <t>Уборщик-грузчик</t>
  </si>
  <si>
    <t>Менеджер-комплектовщик</t>
  </si>
  <si>
    <t>Начальник производства</t>
  </si>
  <si>
    <t>Операц.Расходы</t>
  </si>
  <si>
    <t>Изм. Денежного Потока</t>
  </si>
  <si>
    <t>Изм. NPV</t>
  </si>
  <si>
    <t>Окуп</t>
  </si>
  <si>
    <t>Срок окупаемости</t>
  </si>
  <si>
    <t>Изменение сроков окупаемости</t>
  </si>
  <si>
    <t>До изм.</t>
  </si>
  <si>
    <t>После</t>
  </si>
  <si>
    <t>Внутреннея ставка доходности</t>
  </si>
  <si>
    <t>Изм.</t>
  </si>
  <si>
    <t>За всех. Фикс</t>
  </si>
  <si>
    <t>За всех. Взносы</t>
  </si>
  <si>
    <t>По типам затрат</t>
  </si>
  <si>
    <t>Сумма по полю Взносы</t>
  </si>
  <si>
    <t>Сумма по полю Фикс</t>
  </si>
  <si>
    <t>Столбец1</t>
  </si>
  <si>
    <t>Заёмные ср-ва</t>
  </si>
  <si>
    <t>Запас фин. Прочности (в шт.)</t>
  </si>
  <si>
    <t>Ia. Изм. Оборотного капитала</t>
  </si>
  <si>
    <t>Запасы</t>
  </si>
  <si>
    <t>Запасы на начало</t>
  </si>
  <si>
    <t>Запасы на конец</t>
  </si>
  <si>
    <t>Закупка</t>
  </si>
  <si>
    <t>Потрачено</t>
  </si>
  <si>
    <t>Изм. Запасов</t>
  </si>
  <si>
    <t>Поставщики</t>
  </si>
  <si>
    <t>Долги на начало</t>
  </si>
  <si>
    <t>Оплачено</t>
  </si>
  <si>
    <t>Долги на конец</t>
  </si>
  <si>
    <t>Норма запасов, дн</t>
  </si>
  <si>
    <t>Отсрочка.</t>
  </si>
  <si>
    <t>20 дн.</t>
  </si>
  <si>
    <t>Изм. Долгов</t>
  </si>
  <si>
    <t>% уплаченные</t>
  </si>
  <si>
    <t>Расходы на доставку в ТТ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</si>
</sst>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dd/mm/yy;@"/>
    <numFmt numFmtId="165" formatCode="_-* #,##0\ _р_._-;\-* #,##0\ _р_._-;_-* &quot;-&quot;??\ _р_._-;_-@_-"/>
    <numFmt numFmtId="166" formatCode="#,##0.00&quot;р.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 tint="0.34998626667073579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 tint="0.34998626667073579"/>
      <name val="Verdana"/>
      <family val="2"/>
      <charset val="204"/>
    </font>
    <font>
      <sz val="8"/>
      <color rgb="FFFFF9E7"/>
      <name val="Calibri"/>
      <family val="2"/>
      <scheme val="minor"/>
    </font>
    <font>
      <sz val="10"/>
      <color theme="1" tint="0.34998626667073579"/>
      <name val="Verdana"/>
      <family val="2"/>
      <charset val="204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F9E7"/>
      <name val="Calibri"/>
      <family val="2"/>
      <scheme val="minor"/>
    </font>
    <font>
      <sz val="12"/>
      <color theme="1"/>
      <name val="Verdana"/>
      <family val="2"/>
      <charset val="204"/>
    </font>
    <font>
      <sz val="11"/>
      <color theme="1" tint="0.34998626667073579"/>
      <name val="Verdan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 tint="0.34998626667073579"/>
      <name val="Calibri"/>
      <family val="2"/>
      <charset val="204"/>
      <scheme val="minor"/>
    </font>
    <font>
      <b/>
      <sz val="11"/>
      <color theme="1" tint="0.34998626667073579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9E7"/>
        <bgColor indexed="64"/>
      </patternFill>
    </fill>
    <fill>
      <patternFill patternType="lightDown">
        <bgColor theme="7" tint="0.5999633777886288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hair">
        <color theme="8" tint="0.59996337778862885"/>
      </left>
      <right style="hair">
        <color theme="8" tint="0.59996337778862885"/>
      </right>
      <top style="hair">
        <color theme="8" tint="0.59996337778862885"/>
      </top>
      <bottom style="hair">
        <color theme="8" tint="0.59996337778862885"/>
      </bottom>
      <diagonal/>
    </border>
    <border>
      <left style="hair">
        <color theme="8" tint="0.59996337778862885"/>
      </left>
      <right style="hair">
        <color theme="8" tint="0.59996337778862885"/>
      </right>
      <top/>
      <bottom style="hair">
        <color theme="8" tint="0.59996337778862885"/>
      </bottom>
      <diagonal/>
    </border>
    <border>
      <left/>
      <right/>
      <top/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 style="hair">
        <color theme="0"/>
      </right>
      <top style="thick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hair">
        <color theme="0"/>
      </top>
      <bottom style="hair">
        <color theme="0"/>
      </bottom>
      <diagonal/>
    </border>
    <border>
      <left style="medium">
        <color indexed="64"/>
      </left>
      <right style="medium">
        <color indexed="64"/>
      </right>
      <top style="hair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3" borderId="5">
      <alignment horizontal="center" vertical="center"/>
      <protection hidden="1"/>
    </xf>
    <xf numFmtId="4" fontId="4" fillId="3" borderId="15"/>
    <xf numFmtId="0" fontId="7" fillId="4" borderId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275">
    <xf numFmtId="0" fontId="0" fillId="0" borderId="0" xfId="0"/>
    <xf numFmtId="0" fontId="0" fillId="3" borderId="0" xfId="0" applyFill="1"/>
    <xf numFmtId="0" fontId="11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164" fontId="11" fillId="3" borderId="3" xfId="0" applyNumberFormat="1" applyFont="1" applyFill="1" applyBorder="1" applyProtection="1">
      <protection hidden="1"/>
    </xf>
    <xf numFmtId="14" fontId="12" fillId="3" borderId="0" xfId="3" applyNumberFormat="1" applyFont="1" applyFill="1" applyProtection="1">
      <protection hidden="1"/>
    </xf>
    <xf numFmtId="0" fontId="11" fillId="3" borderId="0" xfId="0" applyNumberFormat="1" applyFont="1" applyFill="1" applyProtection="1"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protection hidden="1"/>
    </xf>
    <xf numFmtId="0" fontId="11" fillId="3" borderId="0" xfId="0" applyFont="1" applyFill="1" applyAlignment="1" applyProtection="1">
      <protection hidden="1"/>
    </xf>
    <xf numFmtId="0" fontId="11" fillId="3" borderId="0" xfId="0" applyNumberFormat="1" applyFont="1" applyFill="1" applyAlignment="1" applyProtection="1">
      <protection hidden="1"/>
    </xf>
    <xf numFmtId="0" fontId="14" fillId="3" borderId="0" xfId="0" applyFont="1" applyFill="1" applyAlignment="1" applyProtection="1">
      <protection hidden="1"/>
    </xf>
    <xf numFmtId="49" fontId="11" fillId="3" borderId="3" xfId="0" applyNumberFormat="1" applyFont="1" applyFill="1" applyBorder="1" applyAlignment="1" applyProtection="1">
      <alignment vertical="center"/>
      <protection hidden="1"/>
    </xf>
    <xf numFmtId="49" fontId="11" fillId="3" borderId="0" xfId="0" applyNumberFormat="1" applyFont="1" applyFill="1" applyBorder="1" applyAlignment="1" applyProtection="1">
      <alignment vertical="center"/>
      <protection hidden="1"/>
    </xf>
    <xf numFmtId="0" fontId="11" fillId="3" borderId="3" xfId="0" applyNumberFormat="1" applyFont="1" applyFill="1" applyBorder="1" applyAlignment="1" applyProtection="1">
      <alignment vertical="center"/>
      <protection hidden="1"/>
    </xf>
    <xf numFmtId="43" fontId="11" fillId="3" borderId="3" xfId="2" applyFont="1" applyFill="1" applyBorder="1" applyAlignment="1" applyProtection="1">
      <alignment horizontal="left" vertical="center"/>
      <protection hidden="1"/>
    </xf>
    <xf numFmtId="49" fontId="13" fillId="3" borderId="0" xfId="0" applyNumberFormat="1" applyFont="1" applyFill="1" applyAlignment="1" applyProtection="1">
      <alignment vertical="center"/>
      <protection hidden="1"/>
    </xf>
    <xf numFmtId="165" fontId="11" fillId="3" borderId="3" xfId="2" applyNumberFormat="1" applyFont="1" applyFill="1" applyBorder="1" applyAlignment="1" applyProtection="1">
      <alignment vertical="center" shrinkToFit="1"/>
      <protection hidden="1"/>
    </xf>
    <xf numFmtId="49" fontId="11" fillId="3" borderId="4" xfId="0" applyNumberFormat="1" applyFont="1" applyFill="1" applyBorder="1" applyAlignment="1" applyProtection="1">
      <alignment vertical="center"/>
      <protection hidden="1"/>
    </xf>
    <xf numFmtId="0" fontId="11" fillId="3" borderId="4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10" fontId="11" fillId="3" borderId="4" xfId="0" applyNumberFormat="1" applyFont="1" applyFill="1" applyBorder="1" applyAlignment="1" applyProtection="1">
      <alignment horizontal="right" vertical="center"/>
      <protection hidden="1"/>
    </xf>
    <xf numFmtId="3" fontId="11" fillId="3" borderId="4" xfId="0" applyNumberFormat="1" applyFont="1" applyFill="1" applyBorder="1" applyAlignment="1" applyProtection="1">
      <alignment horizontal="right" vertical="center"/>
      <protection hidden="1"/>
    </xf>
    <xf numFmtId="0" fontId="24" fillId="3" borderId="5" xfId="4">
      <alignment horizontal="center" vertical="center"/>
      <protection hidden="1"/>
    </xf>
    <xf numFmtId="0" fontId="24" fillId="3" borderId="5" xfId="4">
      <alignment horizontal="center" vertical="center"/>
      <protection hidden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7" fillId="3" borderId="0" xfId="0" applyFont="1" applyFill="1"/>
    <xf numFmtId="0" fontId="0" fillId="3" borderId="14" xfId="0" applyFill="1" applyBorder="1"/>
    <xf numFmtId="14" fontId="0" fillId="3" borderId="14" xfId="0" applyNumberFormat="1" applyFill="1" applyBorder="1"/>
    <xf numFmtId="0" fontId="0" fillId="3" borderId="15" xfId="0" applyFill="1" applyBorder="1"/>
    <xf numFmtId="14" fontId="0" fillId="3" borderId="15" xfId="0" applyNumberFormat="1" applyFill="1" applyBorder="1"/>
    <xf numFmtId="0" fontId="0" fillId="3" borderId="16" xfId="0" applyFill="1" applyBorder="1"/>
    <xf numFmtId="14" fontId="0" fillId="2" borderId="15" xfId="0" applyNumberFormat="1" applyFill="1" applyBorder="1"/>
    <xf numFmtId="14" fontId="0" fillId="2" borderId="16" xfId="0" applyNumberForma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4" fontId="0" fillId="3" borderId="0" xfId="0" applyNumberFormat="1" applyFill="1"/>
    <xf numFmtId="4" fontId="0" fillId="3" borderId="15" xfId="0" applyNumberFormat="1" applyFill="1" applyBorder="1"/>
    <xf numFmtId="0" fontId="24" fillId="3" borderId="17" xfId="4" applyFill="1" applyBorder="1">
      <alignment horizontal="center" vertical="center"/>
      <protection hidden="1"/>
    </xf>
    <xf numFmtId="4" fontId="0" fillId="3" borderId="0" xfId="0" applyNumberFormat="1" applyFill="1" applyAlignment="1">
      <alignment horizontal="left"/>
    </xf>
    <xf numFmtId="9" fontId="0" fillId="3" borderId="0" xfId="0" applyNumberFormat="1" applyFill="1"/>
    <xf numFmtId="9" fontId="11" fillId="3" borderId="3" xfId="0" applyNumberFormat="1" applyFont="1" applyFill="1" applyBorder="1" applyAlignment="1" applyProtection="1">
      <alignment horizontal="center"/>
      <protection hidden="1"/>
    </xf>
    <xf numFmtId="0" fontId="10" fillId="3" borderId="0" xfId="3" applyFill="1" applyAlignment="1" applyProtection="1">
      <alignment horizontal="center"/>
      <protection hidden="1"/>
    </xf>
    <xf numFmtId="0" fontId="6" fillId="3" borderId="0" xfId="0" applyFont="1" applyFill="1" applyAlignment="1">
      <alignment horizontal="center"/>
    </xf>
    <xf numFmtId="3" fontId="0" fillId="3" borderId="0" xfId="0" applyNumberFormat="1" applyFill="1"/>
    <xf numFmtId="4" fontId="4" fillId="3" borderId="15" xfId="5"/>
    <xf numFmtId="0" fontId="24" fillId="3" borderId="5" xfId="4" applyFill="1">
      <alignment horizontal="center" vertical="center"/>
      <protection hidden="1"/>
    </xf>
    <xf numFmtId="3" fontId="24" fillId="3" borderId="5" xfId="4" applyNumberFormat="1">
      <alignment horizontal="center" vertical="center"/>
      <protection hidden="1"/>
    </xf>
    <xf numFmtId="3" fontId="24" fillId="2" borderId="5" xfId="4" applyNumberFormat="1" applyFill="1">
      <alignment horizontal="center" vertical="center"/>
      <protection hidden="1"/>
    </xf>
    <xf numFmtId="0" fontId="0" fillId="3" borderId="0" xfId="0" applyFill="1" applyAlignment="1">
      <alignment wrapText="1"/>
    </xf>
    <xf numFmtId="0" fontId="24" fillId="3" borderId="5" xfId="4" applyAlignment="1">
      <alignment horizontal="center" vertical="center" wrapText="1"/>
      <protection hidden="1"/>
    </xf>
    <xf numFmtId="0" fontId="0" fillId="3" borderId="0" xfId="0" applyFill="1" applyAlignment="1">
      <alignment horizontal="left" wrapText="1"/>
    </xf>
    <xf numFmtId="0" fontId="17" fillId="3" borderId="5" xfId="4" applyFont="1" applyAlignment="1">
      <alignment horizontal="left" vertical="center" wrapText="1" indent="1"/>
      <protection hidden="1"/>
    </xf>
    <xf numFmtId="0" fontId="17" fillId="3" borderId="5" xfId="4" applyFont="1" applyAlignment="1">
      <alignment horizontal="left" vertical="center" wrapText="1" indent="3"/>
      <protection hidden="1"/>
    </xf>
    <xf numFmtId="0" fontId="24" fillId="3" borderId="5" xfId="4" applyAlignment="1">
      <alignment horizontal="left" vertical="center" wrapText="1"/>
      <protection hidden="1"/>
    </xf>
    <xf numFmtId="0" fontId="8" fillId="3" borderId="0" xfId="0" applyFont="1" applyFill="1"/>
    <xf numFmtId="9" fontId="2" fillId="3" borderId="15" xfId="1" applyFill="1" applyBorder="1"/>
    <xf numFmtId="0" fontId="0" fillId="3" borderId="0" xfId="0" applyFill="1" applyAlignment="1">
      <alignment horizontal="center"/>
    </xf>
    <xf numFmtId="0" fontId="18" fillId="3" borderId="0" xfId="0" applyFont="1" applyFill="1"/>
    <xf numFmtId="0" fontId="3" fillId="3" borderId="0" xfId="0" applyFont="1" applyFill="1"/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9" fontId="0" fillId="3" borderId="0" xfId="0" applyNumberFormat="1" applyFill="1" applyAlignment="1">
      <alignment horizontal="center" vertical="center"/>
    </xf>
    <xf numFmtId="2" fontId="11" fillId="3" borderId="3" xfId="0" applyNumberFormat="1" applyFont="1" applyFill="1" applyBorder="1" applyAlignment="1" applyProtection="1">
      <alignment horizontal="center"/>
      <protection hidden="1"/>
    </xf>
    <xf numFmtId="0" fontId="24" fillId="3" borderId="5" xfId="4" applyAlignment="1">
      <alignment horizontal="center" vertical="center"/>
      <protection hidden="1"/>
    </xf>
    <xf numFmtId="4" fontId="4" fillId="3" borderId="15" xfId="5" applyAlignment="1">
      <alignment horizontal="center"/>
    </xf>
    <xf numFmtId="2" fontId="11" fillId="3" borderId="0" xfId="0" applyNumberFormat="1" applyFont="1" applyFill="1" applyBorder="1" applyAlignment="1" applyProtection="1">
      <alignment horizontal="center"/>
      <protection hidden="1"/>
    </xf>
    <xf numFmtId="0" fontId="24" fillId="3" borderId="5" xfId="4" applyAlignment="1">
      <alignment vertical="center"/>
      <protection hidden="1"/>
    </xf>
    <xf numFmtId="9" fontId="11" fillId="3" borderId="3" xfId="1" applyFont="1" applyFill="1" applyBorder="1" applyAlignment="1" applyProtection="1">
      <alignment horizontal="center"/>
      <protection hidden="1"/>
    </xf>
    <xf numFmtId="0" fontId="0" fillId="3" borderId="0" xfId="0" applyFill="1" applyAlignment="1">
      <alignment horizontal="center" wrapText="1"/>
    </xf>
    <xf numFmtId="0" fontId="7" fillId="4" borderId="0" xfId="0" applyFont="1" applyFill="1"/>
    <xf numFmtId="2" fontId="24" fillId="3" borderId="5" xfId="4" applyNumberFormat="1" applyAlignment="1">
      <alignment horizontal="center" vertical="center"/>
      <protection hidden="1"/>
    </xf>
    <xf numFmtId="9" fontId="15" fillId="3" borderId="5" xfId="1" applyFont="1" applyFill="1" applyBorder="1" applyAlignment="1" applyProtection="1">
      <alignment horizontal="center" vertical="center"/>
      <protection hidden="1"/>
    </xf>
    <xf numFmtId="0" fontId="7" fillId="4" borderId="0" xfId="6"/>
    <xf numFmtId="3" fontId="11" fillId="3" borderId="3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Alignment="1">
      <alignment horizontal="left"/>
    </xf>
    <xf numFmtId="3" fontId="11" fillId="3" borderId="0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Alignment="1">
      <alignment horizontal="left"/>
    </xf>
    <xf numFmtId="14" fontId="24" fillId="3" borderId="5" xfId="4" applyNumberFormat="1">
      <alignment horizontal="center" vertical="center"/>
      <protection hidden="1"/>
    </xf>
    <xf numFmtId="14" fontId="0" fillId="3" borderId="16" xfId="0" applyNumberFormat="1" applyFill="1" applyBorder="1"/>
    <xf numFmtId="0" fontId="5" fillId="3" borderId="0" xfId="0" applyFont="1" applyFill="1"/>
    <xf numFmtId="0" fontId="4" fillId="3" borderId="0" xfId="0" applyFont="1" applyFill="1" applyAlignment="1">
      <alignment horizontal="center" wrapText="1"/>
    </xf>
    <xf numFmtId="2" fontId="19" fillId="3" borderId="0" xfId="0" applyNumberFormat="1" applyFont="1" applyFill="1" applyBorder="1" applyAlignment="1" applyProtection="1">
      <alignment horizontal="center"/>
      <protection hidden="1"/>
    </xf>
    <xf numFmtId="4" fontId="0" fillId="3" borderId="0" xfId="0" applyNumberFormat="1" applyFill="1" applyAlignment="1">
      <alignment wrapText="1"/>
    </xf>
    <xf numFmtId="4" fontId="4" fillId="2" borderId="15" xfId="5" applyFill="1"/>
    <xf numFmtId="4" fontId="0" fillId="3" borderId="15" xfId="5" applyFont="1"/>
    <xf numFmtId="0" fontId="0" fillId="3" borderId="0" xfId="0" applyFill="1" applyAlignment="1">
      <alignment horizontal="left" vertical="center" wrapText="1"/>
    </xf>
    <xf numFmtId="0" fontId="9" fillId="3" borderId="0" xfId="0" applyFont="1" applyFill="1"/>
    <xf numFmtId="14" fontId="0" fillId="3" borderId="0" xfId="0" applyNumberFormat="1" applyFill="1"/>
    <xf numFmtId="0" fontId="0" fillId="3" borderId="0" xfId="0" applyFill="1" applyBorder="1" applyAlignment="1">
      <alignment wrapText="1"/>
    </xf>
    <xf numFmtId="2" fontId="0" fillId="3" borderId="0" xfId="0" applyNumberFormat="1" applyFill="1" applyBorder="1" applyAlignment="1">
      <alignment horizontal="center"/>
    </xf>
    <xf numFmtId="0" fontId="22" fillId="3" borderId="0" xfId="0" applyFont="1" applyFill="1"/>
    <xf numFmtId="0" fontId="22" fillId="3" borderId="0" xfId="0" applyFont="1" applyFill="1" applyAlignment="1">
      <alignment horizontal="center"/>
    </xf>
    <xf numFmtId="0" fontId="0" fillId="3" borderId="7" xfId="0" applyFill="1" applyBorder="1" applyAlignment="1">
      <alignment horizontal="center"/>
    </xf>
    <xf numFmtId="0" fontId="23" fillId="3" borderId="5" xfId="4" applyFont="1" applyFill="1">
      <alignment horizontal="center" vertical="center"/>
      <protection hidden="1"/>
    </xf>
    <xf numFmtId="4" fontId="4" fillId="3" borderId="15" xfId="5" applyFill="1"/>
    <xf numFmtId="3" fontId="0" fillId="3" borderId="0" xfId="0" applyNumberFormat="1" applyFill="1" applyAlignment="1">
      <alignment horizontal="left"/>
    </xf>
    <xf numFmtId="4" fontId="4" fillId="3" borderId="15" xfId="5" applyFill="1" applyAlignment="1">
      <alignment horizontal="center"/>
    </xf>
    <xf numFmtId="0" fontId="17" fillId="3" borderId="5" xfId="4" applyFont="1" applyFill="1" applyAlignment="1">
      <alignment horizontal="center" vertical="center" wrapText="1"/>
      <protection hidden="1"/>
    </xf>
    <xf numFmtId="14" fontId="7" fillId="4" borderId="0" xfId="6" applyNumberFormat="1"/>
    <xf numFmtId="14" fontId="4" fillId="3" borderId="15" xfId="5" applyNumberFormat="1"/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0" fontId="0" fillId="3" borderId="2" xfId="0" applyFill="1" applyBorder="1"/>
    <xf numFmtId="3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4" fontId="25" fillId="3" borderId="15" xfId="5" applyFont="1"/>
    <xf numFmtId="4" fontId="11" fillId="3" borderId="3" xfId="0" applyNumberFormat="1" applyFont="1" applyFill="1" applyBorder="1" applyAlignment="1" applyProtection="1">
      <alignment horizontal="center"/>
      <protection hidden="1"/>
    </xf>
    <xf numFmtId="164" fontId="11" fillId="3" borderId="3" xfId="0" applyNumberFormat="1" applyFont="1" applyFill="1" applyBorder="1" applyAlignment="1" applyProtection="1">
      <alignment horizontal="center"/>
      <protection hidden="1"/>
    </xf>
    <xf numFmtId="1" fontId="11" fillId="3" borderId="4" xfId="0" applyNumberFormat="1" applyFont="1" applyFill="1" applyBorder="1" applyAlignment="1" applyProtection="1">
      <alignment horizontal="center"/>
      <protection hidden="1"/>
    </xf>
    <xf numFmtId="0" fontId="26" fillId="3" borderId="0" xfId="0" applyFont="1" applyFill="1"/>
    <xf numFmtId="9" fontId="4" fillId="3" borderId="15" xfId="1" applyFont="1" applyFill="1" applyBorder="1"/>
    <xf numFmtId="9" fontId="11" fillId="2" borderId="3" xfId="1" applyFont="1" applyFill="1" applyBorder="1" applyAlignment="1" applyProtection="1">
      <alignment horizontal="center"/>
      <protection hidden="1"/>
    </xf>
    <xf numFmtId="9" fontId="2" fillId="2" borderId="15" xfId="1" applyFill="1" applyBorder="1"/>
    <xf numFmtId="4" fontId="4" fillId="3" borderId="15" xfId="5" applyAlignment="1"/>
    <xf numFmtId="4" fontId="4" fillId="2" borderId="15" xfId="5" applyFill="1" applyAlignment="1"/>
    <xf numFmtId="4" fontId="4" fillId="2" borderId="15" xfId="5" applyFill="1" applyAlignment="1">
      <alignment horizontal="center"/>
    </xf>
    <xf numFmtId="0" fontId="24" fillId="3" borderId="5" xfId="4">
      <alignment horizontal="center" vertical="center"/>
      <protection hidden="1"/>
    </xf>
    <xf numFmtId="0" fontId="24" fillId="3" borderId="5" xfId="4" applyAlignment="1">
      <alignment horizontal="center" vertical="center" wrapText="1"/>
      <protection hidden="1"/>
    </xf>
    <xf numFmtId="0" fontId="3" fillId="3" borderId="0" xfId="0" applyFont="1" applyFill="1" applyAlignment="1">
      <alignment horizontal="center"/>
    </xf>
    <xf numFmtId="2" fontId="27" fillId="3" borderId="3" xfId="0" applyNumberFormat="1" applyFont="1" applyFill="1" applyBorder="1" applyAlignment="1" applyProtection="1">
      <alignment horizontal="center"/>
      <protection hidden="1"/>
    </xf>
    <xf numFmtId="14" fontId="24" fillId="3" borderId="5" xfId="4" applyNumberFormat="1" applyAlignment="1">
      <alignment horizontal="center" vertical="center" wrapText="1"/>
      <protection hidden="1"/>
    </xf>
    <xf numFmtId="14" fontId="22" fillId="3" borderId="0" xfId="0" applyNumberFormat="1" applyFont="1" applyFill="1"/>
    <xf numFmtId="14" fontId="17" fillId="3" borderId="5" xfId="4" applyNumberFormat="1" applyFont="1" applyFill="1" applyAlignment="1">
      <alignment horizontal="center" vertical="center" wrapText="1"/>
      <protection hidden="1"/>
    </xf>
    <xf numFmtId="14" fontId="4" fillId="3" borderId="15" xfId="5" applyNumberFormat="1" applyFill="1"/>
    <xf numFmtId="9" fontId="4" fillId="2" borderId="15" xfId="1" applyFont="1" applyFill="1" applyBorder="1" applyAlignment="1">
      <alignment horizontal="center"/>
    </xf>
    <xf numFmtId="14" fontId="4" fillId="2" borderId="15" xfId="5" applyNumberFormat="1" applyFill="1"/>
    <xf numFmtId="0" fontId="28" fillId="3" borderId="5" xfId="4" applyNumberFormat="1" applyFont="1" applyFill="1" applyBorder="1" applyAlignment="1" applyProtection="1">
      <alignment horizontal="center" vertical="center"/>
    </xf>
    <xf numFmtId="4" fontId="0" fillId="3" borderId="0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4" fillId="3" borderId="5" xfId="4">
      <alignment horizontal="center" vertical="center"/>
      <protection hidden="1"/>
    </xf>
    <xf numFmtId="0" fontId="24" fillId="3" borderId="5" xfId="4" applyAlignment="1">
      <alignment horizontal="center" vertical="center" wrapText="1"/>
      <protection hidden="1"/>
    </xf>
    <xf numFmtId="0" fontId="24" fillId="3" borderId="20" xfId="4" applyBorder="1" applyAlignment="1">
      <alignment horizontal="center" vertical="center"/>
      <protection hidden="1"/>
    </xf>
    <xf numFmtId="0" fontId="24" fillId="3" borderId="17" xfId="4" applyFill="1" applyBorder="1">
      <alignment horizontal="center" vertical="center"/>
      <protection hidden="1"/>
    </xf>
    <xf numFmtId="4" fontId="4" fillId="3" borderId="15" xfId="5" applyAlignment="1">
      <alignment horizontal="left" indent="1"/>
    </xf>
    <xf numFmtId="0" fontId="24" fillId="3" borderId="5" xfId="4">
      <alignment horizontal="center" vertical="center"/>
      <protection hidden="1"/>
    </xf>
    <xf numFmtId="0" fontId="24" fillId="3" borderId="5" xfId="4" applyAlignment="1">
      <alignment horizontal="center" vertical="center" wrapText="1"/>
      <protection hidden="1"/>
    </xf>
    <xf numFmtId="9" fontId="4" fillId="3" borderId="0" xfId="1" applyFont="1" applyFill="1" applyBorder="1"/>
    <xf numFmtId="0" fontId="0" fillId="9" borderId="22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10" borderId="0" xfId="0" applyFill="1"/>
    <xf numFmtId="4" fontId="0" fillId="10" borderId="0" xfId="0" applyNumberFormat="1" applyFill="1"/>
    <xf numFmtId="4" fontId="0" fillId="0" borderId="0" xfId="0" applyNumberFormat="1"/>
    <xf numFmtId="0" fontId="0" fillId="10" borderId="0" xfId="0" applyFill="1" applyAlignment="1">
      <alignment horizontal="center" vertical="center" wrapText="1"/>
    </xf>
    <xf numFmtId="14" fontId="24" fillId="3" borderId="19" xfId="4" applyNumberFormat="1" applyBorder="1" applyAlignment="1">
      <alignment horizontal="center" vertical="center" wrapText="1"/>
      <protection hidden="1"/>
    </xf>
    <xf numFmtId="14" fontId="4" fillId="3" borderId="24" xfId="5" applyNumberFormat="1" applyBorder="1"/>
    <xf numFmtId="4" fontId="24" fillId="3" borderId="25" xfId="4" applyNumberFormat="1" applyBorder="1" applyAlignment="1">
      <alignment horizontal="center" vertical="center" wrapText="1"/>
      <protection hidden="1"/>
    </xf>
    <xf numFmtId="4" fontId="4" fillId="3" borderId="26" xfId="5" applyNumberFormat="1" applyBorder="1"/>
    <xf numFmtId="4" fontId="4" fillId="3" borderId="27" xfId="5" applyNumberFormat="1" applyBorder="1"/>
    <xf numFmtId="0" fontId="0" fillId="9" borderId="22" xfId="0" applyFill="1" applyBorder="1" applyAlignment="1">
      <alignment horizontal="center" wrapText="1"/>
    </xf>
    <xf numFmtId="0" fontId="0" fillId="11" borderId="22" xfId="0" applyFill="1" applyBorder="1"/>
    <xf numFmtId="0" fontId="0" fillId="12" borderId="22" xfId="0" applyFill="1" applyBorder="1" applyAlignment="1">
      <alignment horizontal="center"/>
    </xf>
    <xf numFmtId="0" fontId="0" fillId="12" borderId="22" xfId="0" applyFill="1" applyBorder="1"/>
    <xf numFmtId="166" fontId="0" fillId="9" borderId="22" xfId="0" applyNumberFormat="1" applyFill="1" applyBorder="1"/>
    <xf numFmtId="166" fontId="0" fillId="13" borderId="22" xfId="0" applyNumberFormat="1" applyFill="1" applyBorder="1"/>
    <xf numFmtId="166" fontId="0" fillId="12" borderId="22" xfId="0" applyNumberFormat="1" applyFill="1" applyBorder="1"/>
    <xf numFmtId="166" fontId="0" fillId="9" borderId="0" xfId="0" applyNumberFormat="1" applyFill="1" applyBorder="1"/>
    <xf numFmtId="166" fontId="0" fillId="11" borderId="22" xfId="0" applyNumberFormat="1" applyFill="1" applyBorder="1"/>
    <xf numFmtId="0" fontId="3" fillId="14" borderId="22" xfId="0" applyFont="1" applyFill="1" applyBorder="1"/>
    <xf numFmtId="0" fontId="3" fillId="14" borderId="22" xfId="0" applyFont="1" applyFill="1" applyBorder="1" applyAlignment="1">
      <alignment horizontal="center"/>
    </xf>
    <xf numFmtId="0" fontId="3" fillId="15" borderId="22" xfId="0" applyFont="1" applyFill="1" applyBorder="1"/>
    <xf numFmtId="0" fontId="3" fillId="15" borderId="22" xfId="0" applyFont="1" applyFill="1" applyBorder="1" applyAlignment="1">
      <alignment horizontal="center"/>
    </xf>
    <xf numFmtId="166" fontId="3" fillId="15" borderId="22" xfId="0" applyNumberFormat="1" applyFont="1" applyFill="1" applyBorder="1"/>
    <xf numFmtId="0" fontId="0" fillId="15" borderId="22" xfId="0" applyFill="1" applyBorder="1"/>
    <xf numFmtId="0" fontId="0" fillId="15" borderId="22" xfId="0" applyFill="1" applyBorder="1" applyAlignment="1">
      <alignment horizontal="center"/>
    </xf>
    <xf numFmtId="166" fontId="0" fillId="15" borderId="22" xfId="0" applyNumberFormat="1" applyFill="1" applyBorder="1"/>
    <xf numFmtId="0" fontId="0" fillId="9" borderId="28" xfId="0" applyFill="1" applyBorder="1" applyAlignment="1">
      <alignment horizontal="center" vertical="center" wrapText="1"/>
    </xf>
    <xf numFmtId="9" fontId="0" fillId="11" borderId="22" xfId="0" applyNumberFormat="1" applyFill="1" applyBorder="1"/>
    <xf numFmtId="9" fontId="0" fillId="0" borderId="0" xfId="0" applyNumberFormat="1"/>
    <xf numFmtId="0" fontId="0" fillId="9" borderId="23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/>
    </xf>
    <xf numFmtId="0" fontId="1" fillId="8" borderId="23" xfId="9" applyBorder="1" applyAlignment="1">
      <alignment horizontal="center" vertical="center" wrapText="1"/>
    </xf>
    <xf numFmtId="9" fontId="0" fillId="0" borderId="0" xfId="1" applyFont="1"/>
    <xf numFmtId="0" fontId="29" fillId="6" borderId="0" xfId="7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wrapText="1"/>
    </xf>
    <xf numFmtId="9" fontId="3" fillId="14" borderId="0" xfId="0" applyNumberFormat="1" applyFont="1" applyFill="1"/>
    <xf numFmtId="0" fontId="3" fillId="14" borderId="0" xfId="0" applyFont="1" applyFill="1"/>
    <xf numFmtId="9" fontId="3" fillId="14" borderId="0" xfId="1" applyFont="1" applyFill="1"/>
    <xf numFmtId="0" fontId="1" fillId="7" borderId="23" xfId="8" applyBorder="1" applyAlignment="1">
      <alignment horizontal="center" vertical="center" wrapText="1"/>
    </xf>
    <xf numFmtId="9" fontId="3" fillId="0" borderId="0" xfId="1" applyFont="1" applyAlignment="1">
      <alignment horizontal="center"/>
    </xf>
    <xf numFmtId="9" fontId="3" fillId="0" borderId="0" xfId="1" applyFont="1"/>
    <xf numFmtId="4" fontId="4" fillId="16" borderId="15" xfId="5" applyFill="1"/>
    <xf numFmtId="4" fontId="10" fillId="3" borderId="15" xfId="3" applyNumberFormat="1" applyFill="1" applyBorder="1"/>
    <xf numFmtId="0" fontId="0" fillId="0" borderId="0" xfId="0" applyFill="1"/>
    <xf numFmtId="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pivotButton="1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16" borderId="0" xfId="0" applyFill="1"/>
    <xf numFmtId="4" fontId="4" fillId="3" borderId="24" xfId="5" applyBorder="1"/>
    <xf numFmtId="4" fontId="4" fillId="3" borderId="30" xfId="5" applyBorder="1"/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24" fillId="5" borderId="5" xfId="4" applyFill="1">
      <alignment horizontal="center" vertical="center"/>
      <protection hidden="1"/>
    </xf>
    <xf numFmtId="4" fontId="0" fillId="5" borderId="0" xfId="0" applyNumberFormat="1" applyFill="1"/>
    <xf numFmtId="4" fontId="25" fillId="3" borderId="15" xfId="5" applyFont="1" applyFill="1"/>
    <xf numFmtId="0" fontId="3" fillId="5" borderId="0" xfId="0" applyFont="1" applyFill="1" applyAlignment="1">
      <alignment horizontal="center"/>
    </xf>
    <xf numFmtId="0" fontId="24" fillId="3" borderId="5" xfId="4">
      <alignment horizontal="center" vertical="center"/>
      <protection hidden="1"/>
    </xf>
    <xf numFmtId="0" fontId="24" fillId="3" borderId="5" xfId="4" applyAlignment="1">
      <alignment horizontal="center" vertical="center" wrapText="1"/>
      <protection hidden="1"/>
    </xf>
    <xf numFmtId="0" fontId="0" fillId="3" borderId="0" xfId="0" applyFill="1" applyBorder="1" applyAlignment="1">
      <alignment horizontal="center"/>
    </xf>
    <xf numFmtId="0" fontId="24" fillId="3" borderId="5" xfId="4" applyAlignment="1">
      <alignment horizontal="center" vertical="center" wrapText="1"/>
      <protection hidden="1"/>
    </xf>
    <xf numFmtId="3" fontId="6" fillId="3" borderId="0" xfId="0" applyNumberFormat="1" applyFont="1" applyFill="1" applyAlignment="1">
      <alignment horizontal="center"/>
    </xf>
    <xf numFmtId="9" fontId="11" fillId="3" borderId="0" xfId="1" applyFont="1" applyFill="1" applyBorder="1" applyAlignment="1" applyProtection="1">
      <alignment horizontal="center"/>
      <protection hidden="1"/>
    </xf>
    <xf numFmtId="4" fontId="0" fillId="0" borderId="0" xfId="0" pivotButton="1" applyNumberFormat="1"/>
    <xf numFmtId="3" fontId="11" fillId="3" borderId="3" xfId="0" applyNumberFormat="1" applyFont="1" applyFill="1" applyBorder="1" applyAlignment="1" applyProtection="1">
      <alignment horizontal="center" vertical="center"/>
      <protection hidden="1"/>
    </xf>
    <xf numFmtId="4" fontId="4" fillId="9" borderId="15" xfId="5" applyFill="1"/>
    <xf numFmtId="0" fontId="28" fillId="3" borderId="5" xfId="4" applyFont="1" applyAlignment="1">
      <alignment horizontal="center" vertical="center" wrapText="1"/>
      <protection hidden="1"/>
    </xf>
    <xf numFmtId="4" fontId="3" fillId="3" borderId="0" xfId="0" applyNumberFormat="1" applyFont="1" applyFill="1"/>
    <xf numFmtId="4" fontId="11" fillId="3" borderId="4" xfId="0" applyNumberFormat="1" applyFont="1" applyFill="1" applyBorder="1" applyAlignment="1" applyProtection="1">
      <alignment horizontal="right" vertical="center"/>
      <protection hidden="1"/>
    </xf>
    <xf numFmtId="0" fontId="30" fillId="3" borderId="0" xfId="0" applyFont="1" applyFill="1" applyAlignment="1">
      <alignment horizontal="center" vertical="center"/>
    </xf>
    <xf numFmtId="0" fontId="31" fillId="3" borderId="32" xfId="0" applyFont="1" applyFill="1" applyBorder="1" applyAlignment="1">
      <alignment horizontal="center"/>
    </xf>
    <xf numFmtId="9" fontId="30" fillId="3" borderId="0" xfId="1" applyFont="1" applyFill="1" applyAlignment="1">
      <alignment horizontal="center"/>
    </xf>
    <xf numFmtId="0" fontId="28" fillId="3" borderId="5" xfId="4" applyFont="1">
      <alignment horizontal="center" vertical="center"/>
      <protection hidden="1"/>
    </xf>
    <xf numFmtId="9" fontId="0" fillId="2" borderId="0" xfId="1" applyFont="1" applyFill="1" applyBorder="1" applyAlignment="1">
      <alignment horizontal="center"/>
    </xf>
    <xf numFmtId="0" fontId="6" fillId="16" borderId="0" xfId="0" applyFont="1" applyFill="1" applyAlignment="1">
      <alignment horizontal="center"/>
    </xf>
    <xf numFmtId="3" fontId="6" fillId="16" borderId="0" xfId="0" applyNumberFormat="1" applyFont="1" applyFill="1" applyAlignment="1">
      <alignment horizontal="center"/>
    </xf>
    <xf numFmtId="2" fontId="0" fillId="3" borderId="0" xfId="0" applyNumberFormat="1" applyFill="1"/>
    <xf numFmtId="2" fontId="3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10" fontId="6" fillId="3" borderId="0" xfId="0" applyNumberFormat="1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6" fillId="3" borderId="0" xfId="1" applyFont="1" applyFill="1" applyAlignment="1">
      <alignment horizontal="center"/>
    </xf>
    <xf numFmtId="2" fontId="6" fillId="3" borderId="0" xfId="1" applyNumberFormat="1" applyFont="1" applyFill="1" applyAlignment="1">
      <alignment horizontal="center"/>
    </xf>
    <xf numFmtId="9" fontId="32" fillId="3" borderId="15" xfId="1" applyFont="1" applyFill="1" applyBorder="1"/>
    <xf numFmtId="4" fontId="32" fillId="3" borderId="15" xfId="5" applyFont="1"/>
    <xf numFmtId="4" fontId="6" fillId="3" borderId="0" xfId="0" applyNumberFormat="1" applyFont="1" applyFill="1" applyAlignment="1">
      <alignment horizontal="center"/>
    </xf>
    <xf numFmtId="0" fontId="6" fillId="3" borderId="0" xfId="0" applyFont="1" applyFill="1"/>
    <xf numFmtId="4" fontId="4" fillId="17" borderId="15" xfId="5" applyFill="1"/>
    <xf numFmtId="4" fontId="0" fillId="17" borderId="0" xfId="0" applyNumberFormat="1" applyFill="1"/>
    <xf numFmtId="0" fontId="24" fillId="3" borderId="5" xfId="4">
      <alignment horizontal="center" vertical="center"/>
      <protection hidden="1"/>
    </xf>
    <xf numFmtId="0" fontId="7" fillId="3" borderId="0" xfId="0" applyFont="1" applyFill="1" applyAlignment="1">
      <alignment horizontal="left" vertical="center" wrapText="1"/>
    </xf>
    <xf numFmtId="0" fontId="6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24" fillId="3" borderId="17" xfId="4" applyBorder="1" applyAlignment="1">
      <alignment horizontal="center" vertical="center"/>
      <protection hidden="1"/>
    </xf>
    <xf numFmtId="0" fontId="24" fillId="3" borderId="18" xfId="4" applyBorder="1" applyAlignment="1">
      <alignment horizontal="center" vertical="center"/>
      <protection hidden="1"/>
    </xf>
    <xf numFmtId="0" fontId="24" fillId="3" borderId="19" xfId="4" applyBorder="1" applyAlignment="1">
      <alignment horizontal="center" vertical="center"/>
      <protection hidden="1"/>
    </xf>
    <xf numFmtId="0" fontId="24" fillId="3" borderId="20" xfId="4" applyBorder="1" applyAlignment="1">
      <alignment horizontal="center" vertical="center"/>
      <protection hidden="1"/>
    </xf>
    <xf numFmtId="0" fontId="24" fillId="3" borderId="21" xfId="4" applyBorder="1" applyAlignment="1">
      <alignment horizontal="center" vertical="center"/>
      <protection hidden="1"/>
    </xf>
    <xf numFmtId="0" fontId="3" fillId="3" borderId="31" xfId="0" applyFont="1" applyFill="1" applyBorder="1" applyAlignment="1">
      <alignment horizontal="center"/>
    </xf>
    <xf numFmtId="0" fontId="28" fillId="3" borderId="17" xfId="4" applyFont="1" applyFill="1" applyBorder="1" applyAlignment="1">
      <alignment horizontal="center" vertical="center"/>
      <protection hidden="1"/>
    </xf>
    <xf numFmtId="0" fontId="28" fillId="3" borderId="18" xfId="4" applyFont="1" applyFill="1" applyBorder="1" applyAlignment="1">
      <alignment horizontal="center" vertical="center"/>
      <protection hidden="1"/>
    </xf>
    <xf numFmtId="2" fontId="3" fillId="3" borderId="31" xfId="0" applyNumberFormat="1" applyFont="1" applyFill="1" applyBorder="1" applyAlignment="1">
      <alignment horizontal="center"/>
    </xf>
    <xf numFmtId="3" fontId="0" fillId="3" borderId="31" xfId="0" applyNumberForma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24" fillId="3" borderId="5" xfId="4" applyAlignment="1">
      <alignment horizontal="center" vertical="center" wrapText="1"/>
      <protection hidden="1"/>
    </xf>
    <xf numFmtId="0" fontId="24" fillId="3" borderId="17" xfId="4" applyBorder="1" applyAlignment="1">
      <alignment horizontal="center" vertical="center" wrapText="1"/>
      <protection hidden="1"/>
    </xf>
    <xf numFmtId="0" fontId="24" fillId="3" borderId="18" xfId="4" applyBorder="1" applyAlignment="1">
      <alignment horizontal="center" vertical="center" wrapText="1"/>
      <protection hidden="1"/>
    </xf>
    <xf numFmtId="0" fontId="0" fillId="3" borderId="0" xfId="0" applyFill="1" applyAlignment="1">
      <alignment horizontal="center"/>
    </xf>
    <xf numFmtId="0" fontId="24" fillId="3" borderId="17" xfId="4" applyFill="1" applyBorder="1">
      <alignment horizontal="center" vertical="center"/>
      <protection hidden="1"/>
    </xf>
  </cellXfs>
  <cellStyles count="10">
    <cellStyle name="60% — акцент4" xfId="8" builtinId="44"/>
    <cellStyle name="60% — акцент6" xfId="9" builtinId="52"/>
    <cellStyle name="Border_UP" xfId="6" xr:uid="{00000000-0005-0000-0000-000000000000}"/>
    <cellStyle name="Гиперссылка" xfId="3" builtinId="8"/>
    <cellStyle name="Заголовок таблицы" xfId="4" xr:uid="{00000000-0005-0000-0000-000002000000}"/>
    <cellStyle name="Обычный" xfId="0" builtinId="0"/>
    <cellStyle name="Процентный" xfId="1" builtinId="5"/>
    <cellStyle name="СтрокаТаблицы" xfId="5" xr:uid="{00000000-0005-0000-0000-000005000000}"/>
    <cellStyle name="Финансовый" xfId="2" builtinId="3"/>
    <cellStyle name="Хороший" xfId="7" builtinId="26"/>
  </cellStyles>
  <dxfs count="108"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numFmt numFmtId="13" formatCode="0%"/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alignment wrapText="1"/>
    </dxf>
    <dxf>
      <alignment wrapText="1"/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 patternType="solid">
          <bgColor rgb="FFFFF9E7"/>
        </patternFill>
      </fill>
    </dxf>
    <dxf>
      <fill>
        <patternFill patternType="solid">
          <bgColor rgb="FFFFF9E7"/>
        </patternFill>
      </fill>
    </dxf>
    <dxf>
      <fill>
        <patternFill patternType="solid">
          <bgColor rgb="FFFFF9E7"/>
        </patternFill>
      </fill>
    </dxf>
    <dxf>
      <fill>
        <patternFill patternType="solid">
          <bgColor rgb="FFFFF9E7"/>
        </patternFill>
      </fill>
    </dxf>
    <dxf>
      <fill>
        <patternFill patternType="solid">
          <bgColor rgb="FFFFF9E7"/>
        </patternFill>
      </fill>
    </dxf>
    <dxf>
      <fill>
        <patternFill patternType="solid">
          <bgColor rgb="FFFFF9E7"/>
        </patternFill>
      </fill>
    </dxf>
    <dxf>
      <fill>
        <patternFill patternType="solid">
          <bgColor rgb="FFFFF9E7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/>
    </dxf>
    <dxf>
      <alignment wrapText="1"/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>
          <bgColor rgb="FFFFF9E7"/>
        </patternFill>
      </fill>
    </dxf>
    <dxf>
      <fill>
        <patternFill patternType="solid">
          <bgColor rgb="FFFFF9E7"/>
        </patternFill>
      </fill>
    </dxf>
    <dxf>
      <fill>
        <patternFill patternType="solid">
          <bgColor rgb="FFFFF9E7"/>
        </patternFill>
      </fill>
    </dxf>
    <dxf>
      <fill>
        <patternFill patternType="solid">
          <bgColor rgb="FFFFF9E7"/>
        </patternFill>
      </fill>
    </dxf>
    <dxf>
      <fill>
        <patternFill patternType="solid">
          <bgColor rgb="FFFFF9E7"/>
        </patternFill>
      </fill>
    </dxf>
    <dxf>
      <fill>
        <patternFill patternType="solid">
          <bgColor rgb="FFFFF9E7"/>
        </patternFill>
      </fill>
    </dxf>
    <dxf>
      <fill>
        <patternFill patternType="solid">
          <bgColor rgb="FFFFF9E7"/>
        </patternFill>
      </fill>
    </dxf>
    <dxf>
      <fill>
        <patternFill patternType="solid">
          <bgColor rgb="FFFFF9E7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" formatCode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general" textRotation="0" wrapText="0" indent="0" justifyLastLine="0" shrinkToFit="0" readingOrder="0"/>
      <border outline="0">
        <left style="hair">
          <color theme="0"/>
        </left>
      </border>
    </dxf>
    <dxf>
      <fill>
        <patternFill patternType="solid">
          <fgColor indexed="64"/>
          <bgColor theme="9" tint="0.79998168889431442"/>
        </patternFill>
      </fill>
      <alignment horizontal="general" textRotation="0" wrapText="0" indent="0" justifyLastLine="0" shrinkToFit="0" readingOrder="0"/>
    </dxf>
    <dxf>
      <alignment horizontal="general" textRotation="0" wrapText="0" indent="0" justifyLastLine="0" shrinkToFit="0" readingOrder="0"/>
      <border outline="0">
        <right style="hair">
          <color theme="0"/>
        </right>
      </border>
    </dxf>
    <dxf>
      <alignment horizontal="general" textRotation="0" wrapText="0" indent="0" justifyLastLine="0" shrinkToFit="0" readingOrder="0"/>
    </dxf>
    <dxf>
      <alignment horizontal="general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2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Денежный поток проекта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725023962921502"/>
          <c:y val="3.6256326347392502E-2"/>
          <c:w val="0.84462363211466718"/>
          <c:h val="0.87962559384191652"/>
        </c:manualLayout>
      </c:layout>
      <c:lineChart>
        <c:grouping val="standard"/>
        <c:varyColors val="0"/>
        <c:ser>
          <c:idx val="0"/>
          <c:order val="0"/>
          <c:tx>
            <c:strRef>
              <c:f>ДДС!$B$11</c:f>
              <c:strCache>
                <c:ptCount val="1"/>
                <c:pt idx="0">
                  <c:v>Денежных средств на конец периода</c:v>
                </c:pt>
              </c:strCache>
            </c:strRef>
          </c:tx>
          <c:spPr>
            <a:ln w="38100" cap="rnd">
              <a:solidFill>
                <a:schemeClr val="accent4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ДДС!$C$8:$I$8</c:f>
              <c:numCache>
                <c:formatCode>m/d/yyyy</c:formatCode>
                <c:ptCount val="7"/>
                <c:pt idx="0">
                  <c:v>43159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44985</c:v>
                </c:pt>
              </c:numCache>
            </c:numRef>
          </c:cat>
          <c:val>
            <c:numRef>
              <c:f>ДДС!$C$11:$I$11</c:f>
              <c:numCache>
                <c:formatCode>#,##0</c:formatCode>
                <c:ptCount val="7"/>
                <c:pt idx="0">
                  <c:v>-5175691</c:v>
                </c:pt>
                <c:pt idx="1">
                  <c:v>832290.27702019922</c:v>
                </c:pt>
                <c:pt idx="2">
                  <c:v>6905304.206869591</c:v>
                </c:pt>
                <c:pt idx="3">
                  <c:v>14067678.136718979</c:v>
                </c:pt>
                <c:pt idx="4">
                  <c:v>22811302.066568367</c:v>
                </c:pt>
                <c:pt idx="5">
                  <c:v>32024717.663084421</c:v>
                </c:pt>
                <c:pt idx="6">
                  <c:v>33985550.174309321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CE-4528-9263-A5C231A5C4B9}"/>
            </c:ext>
          </c:extLst>
        </c:ser>
        <c:ser>
          <c:idx val="1"/>
          <c:order val="1"/>
          <c:tx>
            <c:strRef>
              <c:f>ДДС!$B$33</c:f>
              <c:strCache>
                <c:ptCount val="1"/>
                <c:pt idx="0">
                  <c:v>Cum. DCF</c:v>
                </c:pt>
              </c:strCache>
            </c:strRef>
          </c:tx>
          <c:spPr>
            <a:ln w="38100" cap="rnd">
              <a:solidFill>
                <a:schemeClr val="accent4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ДДС!$C$8:$I$8</c:f>
              <c:numCache>
                <c:formatCode>m/d/yyyy</c:formatCode>
                <c:ptCount val="7"/>
                <c:pt idx="0">
                  <c:v>43159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44985</c:v>
                </c:pt>
              </c:numCache>
            </c:numRef>
          </c:cat>
          <c:val>
            <c:numRef>
              <c:f>ДДС!$C$33:$I$33</c:f>
              <c:numCache>
                <c:formatCode>#,##0.00</c:formatCode>
                <c:ptCount val="7"/>
                <c:pt idx="0">
                  <c:v>-5175691</c:v>
                </c:pt>
                <c:pt idx="1">
                  <c:v>-83053.961606185883</c:v>
                </c:pt>
                <c:pt idx="2">
                  <c:v>4138529.8469480025</c:v>
                </c:pt>
                <c:pt idx="3">
                  <c:v>8221583.7502130605</c:v>
                </c:pt>
                <c:pt idx="4">
                  <c:v>12309260.804243512</c:v>
                </c:pt>
                <c:pt idx="5">
                  <c:v>15841602.870246252</c:v>
                </c:pt>
                <c:pt idx="6">
                  <c:v>16568922.688303303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CE-4528-9263-A5C231A5C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5385712"/>
        <c:axId val="1315381360"/>
      </c:lineChart>
      <c:dateAx>
        <c:axId val="131538571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6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5381360"/>
        <c:crosses val="autoZero"/>
        <c:auto val="1"/>
        <c:lblOffset val="100"/>
        <c:baseTimeUnit val="days"/>
        <c:majorUnit val="1"/>
        <c:majorTimeUnit val="years"/>
        <c:minorUnit val="3"/>
        <c:minorTimeUnit val="months"/>
      </c:dateAx>
      <c:valAx>
        <c:axId val="131538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538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[fin-model_Пекарни V1.1-decrypted.xlsx]Расчёт.Постоянные расходы!Сводная таблица1</c:name>
    <c:fmtId val="17"/>
  </c:pivotSource>
  <c:chart>
    <c:autoTitleDeleted val="0"/>
    <c:pivotFmts>
      <c:pivotFmt>
        <c:idx val="0"/>
        <c:spPr>
          <a:solidFill>
            <a:schemeClr val="accent4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4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4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'Расчёт.Постоянные расходы'!$L$5</c:f>
              <c:strCache>
                <c:ptCount val="1"/>
                <c:pt idx="0">
                  <c:v>Сумма по полю Салон 1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'Расчёт.Постоянные расходы'!$K$6:$K$13</c:f>
              <c:strCache>
                <c:ptCount val="7"/>
                <c:pt idx="0">
                  <c:v>0,00</c:v>
                </c:pt>
                <c:pt idx="1">
                  <c:v>2 017,00</c:v>
                </c:pt>
                <c:pt idx="2">
                  <c:v>2 018,00</c:v>
                </c:pt>
                <c:pt idx="3">
                  <c:v>2 019,00</c:v>
                </c:pt>
                <c:pt idx="4">
                  <c:v>2 020,00</c:v>
                </c:pt>
                <c:pt idx="5">
                  <c:v>2 021,00</c:v>
                </c:pt>
                <c:pt idx="6">
                  <c:v>2 022,00</c:v>
                </c:pt>
              </c:strCache>
            </c:strRef>
          </c:cat>
          <c:val>
            <c:numRef>
              <c:f>'Расчёт.Постоянные расходы'!$L$6:$L$13</c:f>
              <c:numCache>
                <c:formatCode>#,##0.00</c:formatCode>
                <c:ptCount val="7"/>
                <c:pt idx="0">
                  <c:v>0</c:v>
                </c:pt>
                <c:pt idx="1">
                  <c:v>810000</c:v>
                </c:pt>
                <c:pt idx="2">
                  <c:v>3240000</c:v>
                </c:pt>
                <c:pt idx="3">
                  <c:v>3240000</c:v>
                </c:pt>
                <c:pt idx="4">
                  <c:v>3240000</c:v>
                </c:pt>
                <c:pt idx="5">
                  <c:v>3240000</c:v>
                </c:pt>
                <c:pt idx="6">
                  <c:v>2160000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4-4035-8C29-A321AF3ADE39}"/>
            </c:ext>
          </c:extLst>
        </c:ser>
        <c:ser>
          <c:idx val="1"/>
          <c:order val="1"/>
          <c:tx>
            <c:strRef>
              <c:f>'Расчёт.Постоянные расходы'!$M$5</c:f>
              <c:strCache>
                <c:ptCount val="1"/>
                <c:pt idx="0">
                  <c:v>Сумма по полю Имидж салон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'Расчёт.Постоянные расходы'!$K$6:$K$13</c:f>
              <c:strCache>
                <c:ptCount val="7"/>
                <c:pt idx="0">
                  <c:v>0,00</c:v>
                </c:pt>
                <c:pt idx="1">
                  <c:v>2 017,00</c:v>
                </c:pt>
                <c:pt idx="2">
                  <c:v>2 018,00</c:v>
                </c:pt>
                <c:pt idx="3">
                  <c:v>2 019,00</c:v>
                </c:pt>
                <c:pt idx="4">
                  <c:v>2 020,00</c:v>
                </c:pt>
                <c:pt idx="5">
                  <c:v>2 021,00</c:v>
                </c:pt>
                <c:pt idx="6">
                  <c:v>2 022,00</c:v>
                </c:pt>
              </c:strCache>
            </c:strRef>
          </c:cat>
          <c:val>
            <c:numRef>
              <c:f>'Расчёт.Постоянные расходы'!$M$6:$M$13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1600000</c:v>
                </c:pt>
                <c:pt idx="3">
                  <c:v>3840000</c:v>
                </c:pt>
                <c:pt idx="4">
                  <c:v>3840000</c:v>
                </c:pt>
                <c:pt idx="5">
                  <c:v>3840000</c:v>
                </c:pt>
                <c:pt idx="6">
                  <c:v>2560000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4-4035-8C29-A321AF3ADE39}"/>
            </c:ext>
          </c:extLst>
        </c:ser>
        <c:ser>
          <c:idx val="2"/>
          <c:order val="2"/>
          <c:tx>
            <c:strRef>
              <c:f>'Расчёт.Постоянные расходы'!$N$5</c:f>
              <c:strCache>
                <c:ptCount val="1"/>
                <c:pt idx="0">
                  <c:v>Сумма по полю Салон 2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'Расчёт.Постоянные расходы'!$K$6:$K$13</c:f>
              <c:strCache>
                <c:ptCount val="7"/>
                <c:pt idx="0">
                  <c:v>0,00</c:v>
                </c:pt>
                <c:pt idx="1">
                  <c:v>2 017,00</c:v>
                </c:pt>
                <c:pt idx="2">
                  <c:v>2 018,00</c:v>
                </c:pt>
                <c:pt idx="3">
                  <c:v>2 019,00</c:v>
                </c:pt>
                <c:pt idx="4">
                  <c:v>2 020,00</c:v>
                </c:pt>
                <c:pt idx="5">
                  <c:v>2 021,00</c:v>
                </c:pt>
                <c:pt idx="6">
                  <c:v>2 022,00</c:v>
                </c:pt>
              </c:strCache>
            </c:strRef>
          </c:cat>
          <c:val>
            <c:numRef>
              <c:f>'Расчёт.Постоянные расходы'!$N$6:$N$13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660000</c:v>
                </c:pt>
                <c:pt idx="3">
                  <c:v>2640000</c:v>
                </c:pt>
                <c:pt idx="4">
                  <c:v>2640000</c:v>
                </c:pt>
                <c:pt idx="5">
                  <c:v>2640000</c:v>
                </c:pt>
                <c:pt idx="6">
                  <c:v>1760000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34-4035-8C29-A321AF3AD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8514920"/>
        <c:axId val="678519512"/>
        <c:axId val="0"/>
      </c:bar3DChart>
      <c:catAx>
        <c:axId val="67851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519512"/>
        <c:crosses val="autoZero"/>
        <c:auto val="1"/>
        <c:lblAlgn val="ctr"/>
        <c:lblOffset val="100"/>
        <c:noMultiLvlLbl val="0"/>
      </c:catAx>
      <c:valAx>
        <c:axId val="67851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51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Структура клиентов по числу визитов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'Скидки и клиентская база'!$X$8</c:f>
              <c:strCache>
                <c:ptCount val="1"/>
                <c:pt idx="0">
                  <c:v>Число визитов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EC5-4583-B975-2370F999C5F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EC5-4583-B975-2370F999C5F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EC5-4583-B975-2370F999C5F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C5-4583-B975-2370F999C5F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C5-4583-B975-2370F999C5F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numRef>
              <c:f>'Скидки и клиентская база'!$X$9:$X$13</c:f>
              <c:numCache>
                <c:formatCode>#,##0.00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'Скидки и клиентская база'!$Y$9:$Y$13</c:f>
              <c:numCache>
                <c:formatCode>0%</c:formatCode>
                <c:ptCount val="5"/>
                <c:pt idx="0">
                  <c:v>0.5</c:v>
                </c:pt>
                <c:pt idx="1">
                  <c:v>0.3</c:v>
                </c:pt>
                <c:pt idx="2">
                  <c:v>0.1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F-4171-BE94-D022A8892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[fin-model_Пекарни V1.1-decrypted.xlsx]Скидки и клиентская база!Сводная таблица3</c:name>
    <c:fmtId val="9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'Скидки и клиентская база'!$AE$7</c:f>
              <c:strCache>
                <c:ptCount val="1"/>
                <c:pt idx="0">
                  <c:v>Сумма по полю Скидка за 1 посещение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'Скидки и клиентская база'!$AC$8:$AC$14</c:f>
              <c:strCache>
                <c:ptCount val="6"/>
                <c:pt idx="0">
                  <c:v>2 017,00</c:v>
                </c:pt>
                <c:pt idx="1">
                  <c:v>2 018,00</c:v>
                </c:pt>
                <c:pt idx="2">
                  <c:v>2 019,00</c:v>
                </c:pt>
                <c:pt idx="3">
                  <c:v>2 020,00</c:v>
                </c:pt>
                <c:pt idx="4">
                  <c:v>2 021,00</c:v>
                </c:pt>
                <c:pt idx="5">
                  <c:v>2 022,00</c:v>
                </c:pt>
              </c:strCache>
            </c:strRef>
          </c:cat>
          <c:val>
            <c:numRef>
              <c:f>'Скидки и клиентская база'!$AE$8:$AE$14</c:f>
              <c:numCache>
                <c:formatCode>#,##0</c:formatCode>
                <c:ptCount val="6"/>
                <c:pt idx="0">
                  <c:v>-825588.43373494002</c:v>
                </c:pt>
                <c:pt idx="1">
                  <c:v>-7925648.963855423</c:v>
                </c:pt>
                <c:pt idx="2">
                  <c:v>-21630416.963855427</c:v>
                </c:pt>
                <c:pt idx="3">
                  <c:v>-25758359.132530134</c:v>
                </c:pt>
                <c:pt idx="4">
                  <c:v>-25758359.132530134</c:v>
                </c:pt>
                <c:pt idx="5">
                  <c:v>-17172239.421686754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41-4692-96BC-891DB26D8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031104"/>
        <c:axId val="537031760"/>
      </c:barChart>
      <c:lineChart>
        <c:grouping val="standard"/>
        <c:varyColors val="0"/>
        <c:ser>
          <c:idx val="0"/>
          <c:order val="0"/>
          <c:tx>
            <c:strRef>
              <c:f>'Скидки и клиентская база'!$AD$7</c:f>
              <c:strCache>
                <c:ptCount val="1"/>
                <c:pt idx="0">
                  <c:v>Сумма по полю % от выручки (скидка 1 посещение)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'Скидки и клиентская база'!$AC$8:$AC$14</c:f>
              <c:strCache>
                <c:ptCount val="6"/>
                <c:pt idx="0">
                  <c:v>2 017,00</c:v>
                </c:pt>
                <c:pt idx="1">
                  <c:v>2 018,00</c:v>
                </c:pt>
                <c:pt idx="2">
                  <c:v>2 019,00</c:v>
                </c:pt>
                <c:pt idx="3">
                  <c:v>2 020,00</c:v>
                </c:pt>
                <c:pt idx="4">
                  <c:v>2 021,00</c:v>
                </c:pt>
                <c:pt idx="5">
                  <c:v>2 022,00</c:v>
                </c:pt>
              </c:strCache>
            </c:strRef>
          </c:cat>
          <c:val>
            <c:numRef>
              <c:f>'Скидки и клиентская база'!$AD$8:$AD$14</c:f>
              <c:numCache>
                <c:formatCode>0%</c:formatCode>
                <c:ptCount val="6"/>
                <c:pt idx="0">
                  <c:v>0.27902476780185764</c:v>
                </c:pt>
                <c:pt idx="1">
                  <c:v>0.27902476780185764</c:v>
                </c:pt>
                <c:pt idx="2">
                  <c:v>0.27902476780185764</c:v>
                </c:pt>
                <c:pt idx="3">
                  <c:v>0.2790247678018577</c:v>
                </c:pt>
                <c:pt idx="4">
                  <c:v>0.2790247678018577</c:v>
                </c:pt>
                <c:pt idx="5">
                  <c:v>0.2790247678018577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41-4692-96BC-891DB26D8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16568"/>
        <c:axId val="671812960"/>
      </c:lineChart>
      <c:catAx>
        <c:axId val="5370311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7031760"/>
        <c:crosses val="autoZero"/>
        <c:auto val="1"/>
        <c:lblAlgn val="ctr"/>
        <c:lblOffset val="100"/>
        <c:noMultiLvlLbl val="0"/>
      </c:catAx>
      <c:valAx>
        <c:axId val="5370317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7031104"/>
        <c:crosses val="autoZero"/>
        <c:crossBetween val="between"/>
      </c:valAx>
      <c:valAx>
        <c:axId val="6718129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816568"/>
        <c:crosses val="max"/>
        <c:crossBetween val="between"/>
      </c:valAx>
      <c:catAx>
        <c:axId val="671816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1812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Рентабельность,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957470593953532"/>
          <c:y val="0.1080719794344473"/>
          <c:w val="0.70456109652960042"/>
          <c:h val="0.7164925206971236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Прибыль!$B$28</c:f>
              <c:strCache>
                <c:ptCount val="1"/>
                <c:pt idx="0">
                  <c:v>Среднемесячная прибыль: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Прибыль!$C$6:$H$6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Прибыль!$C$28:$H$28</c:f>
              <c:numCache>
                <c:formatCode>#,##0.00</c:formatCode>
                <c:ptCount val="6"/>
                <c:pt idx="0">
                  <c:v>43339.924173553518</c:v>
                </c:pt>
                <c:pt idx="1">
                  <c:v>579337.33826388849</c:v>
                </c:pt>
                <c:pt idx="2">
                  <c:v>692590.11604166601</c:v>
                </c:pt>
                <c:pt idx="3">
                  <c:v>708345.32437499939</c:v>
                </c:pt>
                <c:pt idx="4">
                  <c:v>708822.75493055489</c:v>
                </c:pt>
                <c:pt idx="5">
                  <c:v>1006215.8941666661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C0-43E7-878A-C94944BC6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382448"/>
        <c:axId val="1315384080"/>
      </c:barChart>
      <c:lineChart>
        <c:grouping val="standard"/>
        <c:varyColors val="0"/>
        <c:ser>
          <c:idx val="0"/>
          <c:order val="0"/>
          <c:tx>
            <c:strRef>
              <c:f>Прибыль!$B$26</c:f>
              <c:strCache>
                <c:ptCount val="1"/>
                <c:pt idx="0">
                  <c:v>Рентабельность, %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Прибыль!$C$6:$H$6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Прибыль!$C$26:$H$26</c:f>
              <c:numCache>
                <c:formatCode>0%</c:formatCode>
                <c:ptCount val="6"/>
                <c:pt idx="0">
                  <c:v>2.3991704791358696E-2</c:v>
                </c:pt>
                <c:pt idx="1">
                  <c:v>0.18573961524931634</c:v>
                </c:pt>
                <c:pt idx="2">
                  <c:v>0.2067176070762341</c:v>
                </c:pt>
                <c:pt idx="3">
                  <c:v>0.21142006945653508</c:v>
                </c:pt>
                <c:pt idx="4">
                  <c:v>0.21156256831654419</c:v>
                </c:pt>
                <c:pt idx="5">
                  <c:v>0.26904168293226366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2-46D5-9098-AEAD4C329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26304"/>
        <c:axId val="434728928"/>
      </c:lineChart>
      <c:catAx>
        <c:axId val="13153824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accent6">
                      <a:lumMod val="60000"/>
                      <a:lumOff val="40000"/>
                    </a:schemeClr>
                  </a:gs>
                  <a:gs pos="51000">
                    <a:schemeClr val="accent6">
                      <a:lumMod val="40000"/>
                      <a:lumOff val="60000"/>
                    </a:schemeClr>
                  </a:gs>
                  <a:gs pos="60000">
                    <a:schemeClr val="accent6">
                      <a:lumMod val="20000"/>
                      <a:lumOff val="80000"/>
                      <a:alpha val="69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accent6">
                <a:lumMod val="75000"/>
              </a:schemeClr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5384080"/>
        <c:crosses val="autoZero"/>
        <c:auto val="1"/>
        <c:lblAlgn val="ctr"/>
        <c:lblOffset val="100"/>
        <c:noMultiLvlLbl val="0"/>
      </c:catAx>
      <c:valAx>
        <c:axId val="13153840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6">
                      <a:lumMod val="75000"/>
                    </a:schemeClr>
                  </a:gs>
                  <a:gs pos="56000">
                    <a:schemeClr val="accent6">
                      <a:lumMod val="40000"/>
                      <a:lumOff val="60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 w="28575">
            <a:gradFill>
              <a:gsLst>
                <a:gs pos="0">
                  <a:schemeClr val="accent6">
                    <a:lumMod val="60000"/>
                    <a:lumOff val="40000"/>
                  </a:schemeClr>
                </a:gs>
                <a:gs pos="38000">
                  <a:schemeClr val="accent6">
                    <a:lumMod val="40000"/>
                    <a:lumOff val="60000"/>
                  </a:schemeClr>
                </a:gs>
                <a:gs pos="83000">
                  <a:schemeClr val="accent6">
                    <a:lumMod val="20000"/>
                    <a:lumOff val="80000"/>
                  </a:schemeClr>
                </a:gs>
                <a:gs pos="100000">
                  <a:schemeClr val="accent6">
                    <a:lumMod val="75000"/>
                  </a:schemeClr>
                </a:gs>
              </a:gsLst>
              <a:lin ang="5400000" scaled="1"/>
            </a:gradFill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5382448"/>
        <c:crosses val="autoZero"/>
        <c:crossBetween val="between"/>
      </c:valAx>
      <c:valAx>
        <c:axId val="4347289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4726304"/>
        <c:crosses val="max"/>
        <c:crossBetween val="between"/>
      </c:valAx>
      <c:catAx>
        <c:axId val="43472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728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chemeClr val="bg1">
                    <a:lumMod val="50000"/>
                  </a:schemeClr>
                </a:solidFill>
              </a:rPr>
              <a:t>Точка безубыточности, объем продаж (руб)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957470593953532"/>
          <c:y val="0.1080719794344473"/>
          <c:w val="0.70456109652960042"/>
          <c:h val="0.71649252069712366"/>
        </c:manualLayout>
      </c:layout>
      <c:lineChart>
        <c:grouping val="standard"/>
        <c:varyColors val="0"/>
        <c:ser>
          <c:idx val="1"/>
          <c:order val="0"/>
          <c:tx>
            <c:strRef>
              <c:f>'Анализ ТБУ'!$B$25</c:f>
              <c:strCache>
                <c:ptCount val="1"/>
                <c:pt idx="0">
                  <c:v>Точка безубыточности (По уровню пост. Затрат)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'Анализ ТБУ'!$D$19:$H$19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'Анализ ТБУ'!$D$25:$H$25</c:f>
              <c:numCache>
                <c:formatCode>#,##0.00</c:formatCode>
                <c:ptCount val="5"/>
                <c:pt idx="0">
                  <c:v>10881974.834090909</c:v>
                </c:pt>
                <c:pt idx="1">
                  <c:v>25368780.24159091</c:v>
                </c:pt>
                <c:pt idx="2">
                  <c:v>40046885.649090908</c:v>
                </c:pt>
                <c:pt idx="3">
                  <c:v>54724991.056590907</c:v>
                </c:pt>
                <c:pt idx="4">
                  <c:v>69403096.464090914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2-46D5-9098-AEAD4C329834}"/>
            </c:ext>
          </c:extLst>
        </c:ser>
        <c:ser>
          <c:idx val="2"/>
          <c:order val="1"/>
          <c:tx>
            <c:strRef>
              <c:f>'Анализ ТБУ'!$B$26</c:f>
              <c:strCache>
                <c:ptCount val="1"/>
                <c:pt idx="0">
                  <c:v>Безубыточный объём выручки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'Анализ ТБУ'!$D$19:$H$19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'Анализ ТБУ'!$D$26:$H$26</c:f>
              <c:numCache>
                <c:formatCode>#,##0.00</c:formatCode>
                <c:ptCount val="5"/>
                <c:pt idx="0">
                  <c:v>16883006.786432102</c:v>
                </c:pt>
                <c:pt idx="1">
                  <c:v>40679586.072329797</c:v>
                </c:pt>
                <c:pt idx="2">
                  <c:v>65150332.163184747</c:v>
                </c:pt>
                <c:pt idx="3">
                  <c:v>89571488.175369456</c:v>
                </c:pt>
                <c:pt idx="4">
                  <c:v>113976287.49182227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32-46D5-9098-AEAD4C329834}"/>
            </c:ext>
          </c:extLst>
        </c:ser>
        <c:ser>
          <c:idx val="0"/>
          <c:order val="2"/>
          <c:tx>
            <c:strRef>
              <c:f>'Анализ ТБУ'!$B$27</c:f>
              <c:strCache>
                <c:ptCount val="1"/>
                <c:pt idx="0">
                  <c:v>Запас фин. Прочности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'Анализ ТБУ'!$D$19:$H$19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'Анализ ТБУ'!$D$27:$H$27</c:f>
              <c:numCache>
                <c:formatCode>#,##0.00</c:formatCode>
                <c:ptCount val="5"/>
                <c:pt idx="0">
                  <c:v>2987993.2135678977</c:v>
                </c:pt>
                <c:pt idx="1">
                  <c:v>16620413.927670203</c:v>
                </c:pt>
                <c:pt idx="2">
                  <c:v>32354667.836815253</c:v>
                </c:pt>
                <c:pt idx="3">
                  <c:v>48138511.824630544</c:v>
                </c:pt>
                <c:pt idx="4">
                  <c:v>63938712.508177727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4E-4D19-8C19-687F1E46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accent6">
                  <a:lumMod val="75000"/>
                </a:schemeClr>
              </a:solidFill>
              <a:prstDash val="dash"/>
            </a:ln>
            <a:effectLst>
              <a:outerShdw blurRad="50800" dist="25400" dir="2100000" algn="ctr" rotWithShape="0">
                <a:srgbClr val="00B050"/>
              </a:outerShdw>
            </a:effectLst>
          </c:spPr>
        </c:hiLowLines>
        <c:smooth val="0"/>
        <c:axId val="1315382448"/>
        <c:axId val="1315384080"/>
      </c:lineChart>
      <c:catAx>
        <c:axId val="13153824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accent6">
                      <a:lumMod val="60000"/>
                      <a:lumOff val="40000"/>
                    </a:schemeClr>
                  </a:gs>
                  <a:gs pos="51000">
                    <a:schemeClr val="accent6">
                      <a:lumMod val="40000"/>
                      <a:lumOff val="60000"/>
                    </a:schemeClr>
                  </a:gs>
                  <a:gs pos="60000">
                    <a:schemeClr val="accent6">
                      <a:lumMod val="20000"/>
                      <a:lumOff val="80000"/>
                      <a:alpha val="69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accent6">
                <a:lumMod val="75000"/>
              </a:schemeClr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5384080"/>
        <c:crosses val="autoZero"/>
        <c:auto val="1"/>
        <c:lblAlgn val="ctr"/>
        <c:lblOffset val="100"/>
        <c:noMultiLvlLbl val="0"/>
      </c:catAx>
      <c:valAx>
        <c:axId val="13153840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6">
                      <a:lumMod val="75000"/>
                    </a:schemeClr>
                  </a:gs>
                  <a:gs pos="56000">
                    <a:schemeClr val="accent6">
                      <a:lumMod val="40000"/>
                      <a:lumOff val="60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 w="28575">
            <a:gradFill>
              <a:gsLst>
                <a:gs pos="0">
                  <a:schemeClr val="accent6">
                    <a:lumMod val="60000"/>
                    <a:lumOff val="40000"/>
                  </a:schemeClr>
                </a:gs>
                <a:gs pos="38000">
                  <a:schemeClr val="accent6">
                    <a:lumMod val="40000"/>
                    <a:lumOff val="60000"/>
                  </a:schemeClr>
                </a:gs>
                <a:gs pos="83000">
                  <a:schemeClr val="accent6">
                    <a:lumMod val="20000"/>
                    <a:lumOff val="80000"/>
                  </a:schemeClr>
                </a:gs>
                <a:gs pos="100000">
                  <a:schemeClr val="accent6">
                    <a:lumMod val="75000"/>
                  </a:schemeClr>
                </a:gs>
              </a:gsLst>
              <a:lin ang="5400000" scaled="1"/>
            </a:gradFill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538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chemeClr val="bg1">
                    <a:lumMod val="50000"/>
                  </a:schemeClr>
                </a:solidFill>
              </a:rPr>
              <a:t>Анализ безубыточности (руб)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957470593953532"/>
          <c:y val="0.1080719794344473"/>
          <c:w val="0.70456109652960042"/>
          <c:h val="0.71649252069712366"/>
        </c:manualLayout>
      </c:layout>
      <c:lineChart>
        <c:grouping val="standard"/>
        <c:varyColors val="0"/>
        <c:ser>
          <c:idx val="1"/>
          <c:order val="0"/>
          <c:tx>
            <c:strRef>
              <c:f>'Анализ чувствительности'!$B$12</c:f>
              <c:strCache>
                <c:ptCount val="1"/>
                <c:pt idx="0">
                  <c:v>Изм. Денежного Потока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'Анализ чувствительности'!$E$5:$J$5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'Анализ чувствительности'!$E$12:$J$12</c:f>
              <c:numCache>
                <c:formatCode>#,##0</c:formatCode>
                <c:ptCount val="6"/>
                <c:pt idx="0">
                  <c:v>55150.788310606848</c:v>
                </c:pt>
                <c:pt idx="1">
                  <c:v>766835.79275227292</c:v>
                </c:pt>
                <c:pt idx="2">
                  <c:v>1536548.4638606086</c:v>
                </c:pt>
                <c:pt idx="3">
                  <c:v>2306261.1349689448</c:v>
                </c:pt>
                <c:pt idx="4">
                  <c:v>3075973.8060772731</c:v>
                </c:pt>
                <c:pt idx="5">
                  <c:v>3226397.4263939443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E-4266-9F3C-ED83FDA49C96}"/>
            </c:ext>
          </c:extLst>
        </c:ser>
        <c:ser>
          <c:idx val="2"/>
          <c:order val="1"/>
          <c:tx>
            <c:strRef>
              <c:f>'Анализ чувствительности'!$B$14</c:f>
              <c:strCache>
                <c:ptCount val="1"/>
                <c:pt idx="0">
                  <c:v>Изм. NPV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'Анализ чувствительности'!$E$5:$J$5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'Анализ чувствительности'!$E$14:$J$14</c:f>
              <c:numCache>
                <c:formatCode>#,##0</c:formatCode>
                <c:ptCount val="6"/>
                <c:pt idx="0">
                  <c:v>-3023010.6544051454</c:v>
                </c:pt>
                <c:pt idx="1">
                  <c:v>-696159.12245764816</c:v>
                </c:pt>
                <c:pt idx="2">
                  <c:v>1088359.2387740575</c:v>
                </c:pt>
                <c:pt idx="3">
                  <c:v>1812569.3119590525</c:v>
                </c:pt>
                <c:pt idx="4">
                  <c:v>2226366.582861023</c:v>
                </c:pt>
                <c:pt idx="5">
                  <c:v>2301301.721970275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2E-4266-9F3C-ED83FDA49C96}"/>
            </c:ext>
          </c:extLst>
        </c:ser>
        <c:ser>
          <c:idx val="0"/>
          <c:order val="2"/>
          <c:tx>
            <c:strRef>
              <c:f>'Анализ чувствительности'!$B$26</c:f>
              <c:strCache>
                <c:ptCount val="1"/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'Анализ чувствительности'!$E$5:$J$5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'Анализ чувствительности'!$D$26:$H$26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E-4266-9F3C-ED83FDA49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accent6">
                  <a:lumMod val="75000"/>
                </a:schemeClr>
              </a:solidFill>
              <a:prstDash val="dash"/>
            </a:ln>
            <a:effectLst>
              <a:outerShdw blurRad="50800" dist="25400" dir="2100000" algn="ctr" rotWithShape="0">
                <a:srgbClr val="00B050"/>
              </a:outerShdw>
            </a:effectLst>
          </c:spPr>
        </c:hiLowLines>
        <c:smooth val="0"/>
        <c:axId val="1315382448"/>
        <c:axId val="1315384080"/>
      </c:lineChart>
      <c:catAx>
        <c:axId val="13153824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accent6">
                      <a:lumMod val="60000"/>
                      <a:lumOff val="40000"/>
                    </a:schemeClr>
                  </a:gs>
                  <a:gs pos="51000">
                    <a:schemeClr val="accent6">
                      <a:lumMod val="40000"/>
                      <a:lumOff val="60000"/>
                    </a:schemeClr>
                  </a:gs>
                  <a:gs pos="60000">
                    <a:schemeClr val="accent6">
                      <a:lumMod val="20000"/>
                      <a:lumOff val="80000"/>
                      <a:alpha val="69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accent6">
                <a:lumMod val="75000"/>
              </a:schemeClr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5384080"/>
        <c:crosses val="autoZero"/>
        <c:auto val="1"/>
        <c:lblAlgn val="ctr"/>
        <c:lblOffset val="100"/>
        <c:noMultiLvlLbl val="0"/>
      </c:catAx>
      <c:valAx>
        <c:axId val="13153840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6">
                      <a:lumMod val="75000"/>
                    </a:schemeClr>
                  </a:gs>
                  <a:gs pos="56000">
                    <a:schemeClr val="accent6">
                      <a:lumMod val="40000"/>
                      <a:lumOff val="60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28575">
            <a:gradFill>
              <a:gsLst>
                <a:gs pos="0">
                  <a:schemeClr val="accent6">
                    <a:lumMod val="60000"/>
                    <a:lumOff val="40000"/>
                  </a:schemeClr>
                </a:gs>
                <a:gs pos="38000">
                  <a:schemeClr val="accent6">
                    <a:lumMod val="40000"/>
                    <a:lumOff val="60000"/>
                  </a:schemeClr>
                </a:gs>
                <a:gs pos="83000">
                  <a:schemeClr val="accent6">
                    <a:lumMod val="20000"/>
                    <a:lumOff val="80000"/>
                  </a:schemeClr>
                </a:gs>
                <a:gs pos="100000">
                  <a:schemeClr val="accent6">
                    <a:lumMod val="75000"/>
                  </a:schemeClr>
                </a:gs>
              </a:gsLst>
              <a:lin ang="5400000" scaled="1"/>
            </a:gradFill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538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'Услуги и цены'!$C$24</c:f>
              <c:strCache>
                <c:ptCount val="1"/>
                <c:pt idx="0">
                  <c:v>Доля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41D-48D9-A178-1CDAD1520FBB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41D-48D9-A178-1CDAD1520FBB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41D-48D9-A178-1CDAD1520FBB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41D-48D9-A178-1CDAD1520FB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'Услуги и цены'!$B$25:$B$28</c:f>
              <c:strCache>
                <c:ptCount val="4"/>
                <c:pt idx="0">
                  <c:v>Комплекс 1</c:v>
                </c:pt>
                <c:pt idx="1">
                  <c:v>Комплекс 2</c:v>
                </c:pt>
                <c:pt idx="2">
                  <c:v>Комплекс 3</c:v>
                </c:pt>
                <c:pt idx="3">
                  <c:v>Комплекс 4</c:v>
                </c:pt>
              </c:strCache>
            </c:strRef>
          </c:cat>
          <c:val>
            <c:numRef>
              <c:f>'Услуги и цены'!$C$25:$C$28</c:f>
              <c:numCache>
                <c:formatCode>0%</c:formatCode>
                <c:ptCount val="4"/>
                <c:pt idx="0">
                  <c:v>0.4</c:v>
                </c:pt>
                <c:pt idx="1">
                  <c:v>0.2</c:v>
                </c:pt>
                <c:pt idx="2">
                  <c:v>0.1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2-48DE-AD7F-33AD3DF45343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Цена-Себестоимость-Прибыль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ACD-489D-BB75-666DEFDF32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ACD-489D-BB75-666DEFDF32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'Пропускная способность'!$H$15:$I$15</c:f>
              <c:strCache>
                <c:ptCount val="2"/>
                <c:pt idx="0">
                  <c:v>Ср. взвеш. Себ</c:v>
                </c:pt>
                <c:pt idx="1">
                  <c:v>Ожидаемая прибыль</c:v>
                </c:pt>
              </c:strCache>
            </c:strRef>
          </c:cat>
          <c:val>
            <c:numRef>
              <c:f>'Пропускная способность'!$H$20:$I$20</c:f>
              <c:numCache>
                <c:formatCode>General</c:formatCode>
                <c:ptCount val="2"/>
                <c:pt idx="0">
                  <c:v>922.68000000000006</c:v>
                </c:pt>
                <c:pt idx="1">
                  <c:v>1240.3200000000002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4-458D-B01E-82C45E857E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[fin-model_Пекарни V1.1-decrypted.xlsx]РасшифровкаЗатрат!Сводная таблица1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РасшифровкаЗатрат!$N$8</c:f>
              <c:strCache>
                <c:ptCount val="1"/>
                <c:pt idx="0">
                  <c:v>Сумма по полю АХО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РасшифровкаЗатрат!$M$9:$M$15</c:f>
              <c:strCache>
                <c:ptCount val="6"/>
                <c:pt idx="0">
                  <c:v>2 018,00</c:v>
                </c:pt>
                <c:pt idx="1">
                  <c:v>2 019,00</c:v>
                </c:pt>
                <c:pt idx="2">
                  <c:v>2 020,00</c:v>
                </c:pt>
                <c:pt idx="3">
                  <c:v>2 021,00</c:v>
                </c:pt>
                <c:pt idx="4">
                  <c:v>2 022,00</c:v>
                </c:pt>
                <c:pt idx="5">
                  <c:v>2 023,00</c:v>
                </c:pt>
              </c:strCache>
            </c:strRef>
          </c:cat>
          <c:val>
            <c:numRef>
              <c:f>РасшифровкаЗатрат!$N$9:$N$15</c:f>
              <c:numCache>
                <c:formatCode>#,##0.00</c:formatCode>
                <c:ptCount val="6"/>
                <c:pt idx="0">
                  <c:v>-700000</c:v>
                </c:pt>
                <c:pt idx="1">
                  <c:v>-840000</c:v>
                </c:pt>
                <c:pt idx="2">
                  <c:v>-840000</c:v>
                </c:pt>
                <c:pt idx="3">
                  <c:v>-840000</c:v>
                </c:pt>
                <c:pt idx="4">
                  <c:v>-840000</c:v>
                </c:pt>
                <c:pt idx="5">
                  <c:v>-140000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D-4EED-BDAC-630B100E5530}"/>
            </c:ext>
          </c:extLst>
        </c:ser>
        <c:ser>
          <c:idx val="1"/>
          <c:order val="1"/>
          <c:tx>
            <c:strRef>
              <c:f>РасшифровкаЗатрат!$O$8</c:f>
              <c:strCache>
                <c:ptCount val="1"/>
                <c:pt idx="0">
                  <c:v>Сумма по полю Аренда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РасшифровкаЗатрат!$M$9:$M$15</c:f>
              <c:strCache>
                <c:ptCount val="6"/>
                <c:pt idx="0">
                  <c:v>2 018,00</c:v>
                </c:pt>
                <c:pt idx="1">
                  <c:v>2 019,00</c:v>
                </c:pt>
                <c:pt idx="2">
                  <c:v>2 020,00</c:v>
                </c:pt>
                <c:pt idx="3">
                  <c:v>2 021,00</c:v>
                </c:pt>
                <c:pt idx="4">
                  <c:v>2 022,00</c:v>
                </c:pt>
                <c:pt idx="5">
                  <c:v>2 023,00</c:v>
                </c:pt>
              </c:strCache>
            </c:strRef>
          </c:cat>
          <c:val>
            <c:numRef>
              <c:f>РасшифровкаЗатрат!$O$9:$O$15</c:f>
              <c:numCache>
                <c:formatCode>#,##0.00</c:formatCode>
                <c:ptCount val="6"/>
                <c:pt idx="0">
                  <c:v>-750000</c:v>
                </c:pt>
                <c:pt idx="1">
                  <c:v>-900000</c:v>
                </c:pt>
                <c:pt idx="2">
                  <c:v>-900000</c:v>
                </c:pt>
                <c:pt idx="3">
                  <c:v>-900000</c:v>
                </c:pt>
                <c:pt idx="4">
                  <c:v>-900000</c:v>
                </c:pt>
                <c:pt idx="5">
                  <c:v>-150000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CD-4EED-BDAC-630B100E5530}"/>
            </c:ext>
          </c:extLst>
        </c:ser>
        <c:ser>
          <c:idx val="2"/>
          <c:order val="2"/>
          <c:tx>
            <c:strRef>
              <c:f>РасшифровкаЗатрат!$P$8</c:f>
              <c:strCache>
                <c:ptCount val="1"/>
                <c:pt idx="0">
                  <c:v>Сумма по полю Расходы на производство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РасшифровкаЗатрат!$M$9:$M$15</c:f>
              <c:strCache>
                <c:ptCount val="6"/>
                <c:pt idx="0">
                  <c:v>2 018,00</c:v>
                </c:pt>
                <c:pt idx="1">
                  <c:v>2 019,00</c:v>
                </c:pt>
                <c:pt idx="2">
                  <c:v>2 020,00</c:v>
                </c:pt>
                <c:pt idx="3">
                  <c:v>2 021,00</c:v>
                </c:pt>
                <c:pt idx="4">
                  <c:v>2 022,00</c:v>
                </c:pt>
                <c:pt idx="5">
                  <c:v>2 023,00</c:v>
                </c:pt>
              </c:strCache>
            </c:strRef>
          </c:cat>
          <c:val>
            <c:numRef>
              <c:f>РасшифровкаЗатрат!$P$9:$P$15</c:f>
              <c:numCache>
                <c:formatCode>#,##0.00</c:formatCode>
                <c:ptCount val="6"/>
                <c:pt idx="0">
                  <c:v>-50000</c:v>
                </c:pt>
                <c:pt idx="1">
                  <c:v>-60000</c:v>
                </c:pt>
                <c:pt idx="2">
                  <c:v>-60000</c:v>
                </c:pt>
                <c:pt idx="3">
                  <c:v>-60000</c:v>
                </c:pt>
                <c:pt idx="4">
                  <c:v>-60000</c:v>
                </c:pt>
                <c:pt idx="5">
                  <c:v>-10000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CD-4EED-BDAC-630B100E5530}"/>
            </c:ext>
          </c:extLst>
        </c:ser>
        <c:ser>
          <c:idx val="3"/>
          <c:order val="3"/>
          <c:tx>
            <c:strRef>
              <c:f>РасшифровкаЗатрат!$Q$8</c:f>
              <c:strCache>
                <c:ptCount val="1"/>
                <c:pt idx="0">
                  <c:v>Сумма по полю Реклама и маркетинг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РасшифровкаЗатрат!$M$9:$M$15</c:f>
              <c:strCache>
                <c:ptCount val="6"/>
                <c:pt idx="0">
                  <c:v>2 018,00</c:v>
                </c:pt>
                <c:pt idx="1">
                  <c:v>2 019,00</c:v>
                </c:pt>
                <c:pt idx="2">
                  <c:v>2 020,00</c:v>
                </c:pt>
                <c:pt idx="3">
                  <c:v>2 021,00</c:v>
                </c:pt>
                <c:pt idx="4">
                  <c:v>2 022,00</c:v>
                </c:pt>
                <c:pt idx="5">
                  <c:v>2 023,00</c:v>
                </c:pt>
              </c:strCache>
            </c:strRef>
          </c:cat>
          <c:val>
            <c:numRef>
              <c:f>РасшифровкаЗатрат!$Q$9:$Q$15</c:f>
              <c:numCache>
                <c:formatCode>#,##0.00</c:formatCode>
                <c:ptCount val="6"/>
                <c:pt idx="0">
                  <c:v>-50000</c:v>
                </c:pt>
                <c:pt idx="1">
                  <c:v>-60000</c:v>
                </c:pt>
                <c:pt idx="2">
                  <c:v>-60000</c:v>
                </c:pt>
                <c:pt idx="3">
                  <c:v>-60000</c:v>
                </c:pt>
                <c:pt idx="4">
                  <c:v>-60000</c:v>
                </c:pt>
                <c:pt idx="5">
                  <c:v>-10000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CD-4EED-BDAC-630B100E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8621935"/>
        <c:axId val="700380447"/>
        <c:axId val="0"/>
      </c:bar3DChart>
      <c:catAx>
        <c:axId val="498621935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0380447"/>
        <c:crosses val="autoZero"/>
        <c:auto val="1"/>
        <c:lblAlgn val="ctr"/>
        <c:lblOffset val="100"/>
        <c:noMultiLvlLbl val="0"/>
      </c:catAx>
      <c:valAx>
        <c:axId val="700380447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8621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[fin-model_Пекарни V1.1-decrypted.xlsx]План продаж!Сводная таблица2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'План продаж'!$AA$5</c:f>
              <c:strCache>
                <c:ptCount val="1"/>
                <c:pt idx="0">
                  <c:v>Сумма по полю Итого: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'План продаж'!$Z$6:$Z$12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'План продаж'!$AA$6:$AA$12</c:f>
              <c:numCache>
                <c:formatCode>#,##0.00</c:formatCode>
                <c:ptCount val="6"/>
                <c:pt idx="0">
                  <c:v>2958835.6626506029</c:v>
                </c:pt>
                <c:pt idx="1">
                  <c:v>28404822.361445785</c:v>
                </c:pt>
                <c:pt idx="2">
                  <c:v>77521494.361445785</c:v>
                </c:pt>
                <c:pt idx="3">
                  <c:v>92315672.6746988</c:v>
                </c:pt>
                <c:pt idx="4">
                  <c:v>92315672.6746988</c:v>
                </c:pt>
                <c:pt idx="5">
                  <c:v>61543781.783132531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4-435C-97E2-8E0FCB014356}"/>
            </c:ext>
          </c:extLst>
        </c:ser>
        <c:ser>
          <c:idx val="1"/>
          <c:order val="1"/>
          <c:tx>
            <c:strRef>
              <c:f>'План продаж'!$AB$5</c:f>
              <c:strCache>
                <c:ptCount val="1"/>
                <c:pt idx="0">
                  <c:v>Выручка Салон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'План продаж'!$Z$6:$Z$12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'План продаж'!$AB$6:$AB$12</c:f>
              <c:numCache>
                <c:formatCode>#,##0.00</c:formatCode>
                <c:ptCount val="6"/>
                <c:pt idx="0">
                  <c:v>2958835.6626506029</c:v>
                </c:pt>
                <c:pt idx="1">
                  <c:v>17753013.975903615</c:v>
                </c:pt>
                <c:pt idx="2">
                  <c:v>23078918.1686747</c:v>
                </c:pt>
                <c:pt idx="3">
                  <c:v>23078918.1686747</c:v>
                </c:pt>
                <c:pt idx="4">
                  <c:v>23078918.1686747</c:v>
                </c:pt>
                <c:pt idx="5">
                  <c:v>15385945.445783133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4-435C-97E2-8E0FCB014356}"/>
            </c:ext>
          </c:extLst>
        </c:ser>
        <c:ser>
          <c:idx val="2"/>
          <c:order val="2"/>
          <c:tx>
            <c:strRef>
              <c:f>'План продаж'!$AC$5</c:f>
              <c:strCache>
                <c:ptCount val="1"/>
                <c:pt idx="0">
                  <c:v>Выручка Имидж-Салон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'План продаж'!$Z$6:$Z$12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'План продаж'!$AC$6:$AC$12</c:f>
              <c:numCache>
                <c:formatCode>#,##0.00</c:formatCode>
                <c:ptCount val="6"/>
                <c:pt idx="0">
                  <c:v>0</c:v>
                </c:pt>
                <c:pt idx="1">
                  <c:v>7692972.7228915673</c:v>
                </c:pt>
                <c:pt idx="2">
                  <c:v>36689562.216867469</c:v>
                </c:pt>
                <c:pt idx="3">
                  <c:v>46157836.3373494</c:v>
                </c:pt>
                <c:pt idx="4">
                  <c:v>46157836.3373494</c:v>
                </c:pt>
                <c:pt idx="5">
                  <c:v>30771890.891566265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74-435C-97E2-8E0FCB014356}"/>
            </c:ext>
          </c:extLst>
        </c:ser>
        <c:ser>
          <c:idx val="3"/>
          <c:order val="3"/>
          <c:tx>
            <c:strRef>
              <c:f>'План продаж'!$AD$5</c:f>
              <c:strCache>
                <c:ptCount val="1"/>
                <c:pt idx="0">
                  <c:v>Выручка Салон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'План продаж'!$Z$6:$Z$12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'План продаж'!$AD$6:$AD$12</c:f>
              <c:numCache>
                <c:formatCode>#,##0.00</c:formatCode>
                <c:ptCount val="6"/>
                <c:pt idx="0">
                  <c:v>0</c:v>
                </c:pt>
                <c:pt idx="1">
                  <c:v>2958835.6626506029</c:v>
                </c:pt>
                <c:pt idx="2">
                  <c:v>17753013.975903615</c:v>
                </c:pt>
                <c:pt idx="3">
                  <c:v>23078918.1686747</c:v>
                </c:pt>
                <c:pt idx="4">
                  <c:v>23078918.1686747</c:v>
                </c:pt>
                <c:pt idx="5">
                  <c:v>15385945.445783133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74-435C-97E2-8E0FCB014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604160"/>
        <c:axId val="502609408"/>
      </c:barChart>
      <c:catAx>
        <c:axId val="5026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2609408"/>
        <c:crosses val="autoZero"/>
        <c:auto val="1"/>
        <c:lblAlgn val="ctr"/>
        <c:lblOffset val="100"/>
        <c:noMultiLvlLbl val="0"/>
      </c:catAx>
      <c:valAx>
        <c:axId val="50260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260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[fin-model_Пекарни V1.1-decrypted.xlsx]План продаж.Кол-во!Сводная таблица2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'План продаж.Кол-во'!$W$6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'План продаж.Кол-во'!$V$7:$V$13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'План продаж.Кол-во'!$W$7:$W$13</c:f>
              <c:numCache>
                <c:formatCode>#,##0.00</c:formatCode>
                <c:ptCount val="6"/>
                <c:pt idx="0">
                  <c:v>535772.59907970915</c:v>
                </c:pt>
                <c:pt idx="1">
                  <c:v>1129533.4223937462</c:v>
                </c:pt>
                <c:pt idx="2">
                  <c:v>1240908.4162089953</c:v>
                </c:pt>
                <c:pt idx="3">
                  <c:v>1240908.4162089953</c:v>
                </c:pt>
                <c:pt idx="4">
                  <c:v>1240908.4162089953</c:v>
                </c:pt>
                <c:pt idx="5">
                  <c:v>206818.06936816586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B-46B9-BE6B-DA26DB46C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604160"/>
        <c:axId val="502609408"/>
      </c:barChart>
      <c:catAx>
        <c:axId val="5026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2609408"/>
        <c:crosses val="autoZero"/>
        <c:auto val="1"/>
        <c:lblAlgn val="ctr"/>
        <c:lblOffset val="100"/>
        <c:noMultiLvlLbl val="0"/>
      </c:catAx>
      <c:valAx>
        <c:axId val="50260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260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232835</xdr:colOff>
      <xdr:row>14</xdr:row>
      <xdr:rowOff>95251</xdr:rowOff>
    </xdr:from>
    <xdr:to>
      <xdr:col>9</xdr:col>
      <xdr:colOff>2592917</xdr:colOff>
      <xdr:row>33</xdr:row>
      <xdr:rowOff>84666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9BE4131F-C626-422B-ADB2-2A3D6C808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14</xdr:row>
      <xdr:rowOff>28575</xdr:rowOff>
    </xdr:from>
    <xdr:to>
      <xdr:col>13</xdr:col>
      <xdr:colOff>1485899</xdr:colOff>
      <xdr:row>28</xdr:row>
      <xdr:rowOff>104775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2DA8FE29-CB27-4DE3-A4DB-81A699A8AC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503464</xdr:colOff>
      <xdr:row>18</xdr:row>
      <xdr:rowOff>2720</xdr:rowOff>
    </xdr:from>
    <xdr:to>
      <xdr:col>27</xdr:col>
      <xdr:colOff>272142</xdr:colOff>
      <xdr:row>35</xdr:row>
      <xdr:rowOff>149677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CEA710C-4058-4848-B8D8-0D08D3A511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129267</xdr:colOff>
      <xdr:row>18</xdr:row>
      <xdr:rowOff>16328</xdr:rowOff>
    </xdr:from>
    <xdr:to>
      <xdr:col>32</xdr:col>
      <xdr:colOff>408214</xdr:colOff>
      <xdr:row>36</xdr:row>
      <xdr:rowOff>54427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A4DEED74-DE44-465B-8A3F-058B16C387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8</xdr:row>
      <xdr:rowOff>114300</xdr:rowOff>
    </xdr:from>
    <xdr:to>
      <xdr:col>17</xdr:col>
      <xdr:colOff>142875</xdr:colOff>
      <xdr:row>27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1C36553-6FAB-46B2-A7FF-FA55A3F314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457199</xdr:colOff>
      <xdr:row>2</xdr:row>
      <xdr:rowOff>133350</xdr:rowOff>
    </xdr:from>
    <xdr:to>
      <xdr:col>18</xdr:col>
      <xdr:colOff>466725</xdr:colOff>
      <xdr:row>33</xdr:row>
      <xdr:rowOff>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DC27C058-7BA1-4363-8619-3A40D8E17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2</xdr:row>
      <xdr:rowOff>133350</xdr:rowOff>
    </xdr:from>
    <xdr:to>
      <xdr:col>20</xdr:col>
      <xdr:colOff>304800</xdr:colOff>
      <xdr:row>32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8B8D547-D2E1-4BA5-AB38-D5AF10531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21</xdr:row>
      <xdr:rowOff>104775</xdr:rowOff>
    </xdr:from>
    <xdr:to>
      <xdr:col>5</xdr:col>
      <xdr:colOff>1066801</xdr:colOff>
      <xdr:row>34</xdr:row>
      <xdr:rowOff>142875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F2DDC38-3912-4249-816E-EA8D976E6F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858921</xdr:colOff>
      <xdr:row>4</xdr:row>
      <xdr:rowOff>14037</xdr:rowOff>
    </xdr:from>
    <xdr:to>
      <xdr:col>8</xdr:col>
      <xdr:colOff>70183</xdr:colOff>
      <xdr:row>12</xdr:row>
      <xdr:rowOff>174904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97D5052-C133-4F2B-9956-A85DBBF7F6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1223961</xdr:colOff>
      <xdr:row>16</xdr:row>
      <xdr:rowOff>47625</xdr:rowOff>
    </xdr:from>
    <xdr:to>
      <xdr:col>16</xdr:col>
      <xdr:colOff>447674</xdr:colOff>
      <xdr:row>30</xdr:row>
      <xdr:rowOff>123825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4E7597F-BD2D-4DCA-9019-348E39B784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</xdr:colOff>
      <xdr:row>12</xdr:row>
      <xdr:rowOff>152400</xdr:rowOff>
    </xdr:from>
    <xdr:to>
      <xdr:col>30</xdr:col>
      <xdr:colOff>0</xdr:colOff>
      <xdr:row>27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3354B0A-CAFB-4571-9909-40E870B903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33337</xdr:colOff>
      <xdr:row>13</xdr:row>
      <xdr:rowOff>152400</xdr:rowOff>
    </xdr:from>
    <xdr:to>
      <xdr:col>26</xdr:col>
      <xdr:colOff>0</xdr:colOff>
      <xdr:row>28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BFB9D42-8CF7-41B0-9893-1608C0996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Model_3.3_&#1052;&#1072;&#1085;&#1080;&#1082;&#1102;&#1088;&#1085;&#1099;&#1081;%20&#1089;&#1072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ная"/>
      <sheetName val="Исходные данные"/>
      <sheetName val="Продукты и услуги"/>
      <sheetName val="Себестоимость"/>
      <sheetName val="Материалы"/>
      <sheetName val="Активы"/>
      <sheetName val="Инвестиции"/>
      <sheetName val="Аренда"/>
      <sheetName val="Прочие затраты"/>
      <sheetName val="Персонал"/>
      <sheetName val="Займы и кредиты"/>
      <sheetName val="Налоги"/>
      <sheetName val="Итоги"/>
      <sheetName val="Анализ"/>
      <sheetName val="Модель"/>
      <sheetName val="реестр"/>
      <sheetName val="График"/>
      <sheetName val="Прогноз продаж"/>
      <sheetName val="План продаж"/>
      <sheetName val="Постоянные затраты"/>
      <sheetName val="Расчет себестоимости"/>
      <sheetName val="расчет Активы"/>
      <sheetName val="Расчет инвестиций"/>
      <sheetName val="Расчет займов"/>
      <sheetName val="Сырье и материалы"/>
      <sheetName val="Расчёт ФОТ"/>
      <sheetName val="Расчет аренды"/>
      <sheetName val="Расчет налогов"/>
      <sheetName val="Расчет прочие затраты"/>
      <sheetName val="Процент ФОТ"/>
      <sheetName val="Управленческие расходы"/>
      <sheetName val="Финансирование"/>
      <sheetName val="Расчет инвест показателей"/>
      <sheetName val="расчет АМОРТИЗАЦИИ"/>
      <sheetName val="Консолидация"/>
      <sheetName val="ПДДС"/>
      <sheetName val="Прибыли и убытки"/>
      <sheetName val="Баланс"/>
      <sheetName val="Расчёт точки безубыточности"/>
      <sheetName val="График cash flow"/>
      <sheetName val="Инвест показатели"/>
      <sheetName val="настрой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E1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8">
          <cell r="J28"/>
          <cell r="K28">
            <v>0</v>
          </cell>
        </row>
      </sheetData>
      <sheetData sheetId="36"/>
      <sheetData sheetId="37"/>
      <sheetData sheetId="38"/>
      <sheetData sheetId="39"/>
      <sheetData sheetId="40"/>
      <sheetData sheetId="4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2969.423337268519" createdVersion="6" refreshedVersion="6" minRefreshableVersion="3" recordCount="125" xr:uid="{00000000-000A-0000-FFFF-FFFF00000000}">
  <cacheSource type="worksheet">
    <worksheetSource ref="B5:I130" sheet="Расчёт.Постоянные расходы"/>
  </cacheSource>
  <cacheFields count="6">
    <cacheField name="Период" numFmtId="4">
      <sharedItems containsSemiMixedTypes="0" containsString="0" containsNumber="1" containsInteger="1" minValue="0" maxValue="60"/>
    </cacheField>
    <cacheField name="Год" numFmtId="4">
      <sharedItems containsSemiMixedTypes="0" containsString="0" containsNumber="1" containsInteger="1" minValue="0" maxValue="2022" count="7">
        <n v="2017"/>
        <n v="2018"/>
        <n v="2019"/>
        <n v="2020"/>
        <n v="2021"/>
        <n v="2022"/>
        <n v="0"/>
      </sharedItems>
    </cacheField>
    <cacheField name="Салон 1" numFmtId="4">
      <sharedItems containsSemiMixedTypes="0" containsString="0" containsNumber="1" containsInteger="1" minValue="0" maxValue="270000" count="2">
        <n v="0"/>
        <n v="270000"/>
      </sharedItems>
    </cacheField>
    <cacheField name="Имидж салон" numFmtId="4">
      <sharedItems containsSemiMixedTypes="0" containsString="0" containsNumber="1" containsInteger="1" minValue="0" maxValue="320000" count="2">
        <n v="0"/>
        <n v="320000"/>
      </sharedItems>
    </cacheField>
    <cacheField name="Салон 2" numFmtId="4">
      <sharedItems containsSemiMixedTypes="0" containsString="0" containsNumber="1" containsInteger="1" minValue="0" maxValue="220000" count="2">
        <n v="0"/>
        <n v="220000"/>
      </sharedItems>
    </cacheField>
    <cacheField name="Итого:" numFmtId="0">
      <sharedItems containsString="0" containsBlank="1" containsNumber="1" containsInteger="1" minValue="0" maxValue="81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2969.495504398146" createdVersion="6" refreshedVersion="6" minRefreshableVersion="3" recordCount="61" xr:uid="{00000000-000A-0000-FFFF-FFFF01000000}">
  <cacheSource type="worksheet">
    <worksheetSource ref="B5:X66" sheet="План продаж"/>
  </cacheSource>
  <cacheFields count="15">
    <cacheField name="№ периода" numFmtId="0">
      <sharedItems containsSemiMixedTypes="0" containsString="0" containsNumber="1" containsInteger="1" minValue="0" maxValue="60"/>
    </cacheField>
    <cacheField name="Месяц" numFmtId="0">
      <sharedItems containsSemiMixedTypes="0" containsString="0" containsNumber="1" containsInteger="1" minValue="1" maxValue="12"/>
    </cacheField>
    <cacheField name="Год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Дата" numFmtId="14">
      <sharedItems containsSemiMixedTypes="0" containsNonDate="0" containsDate="1" containsString="0" minDate="2017-08-31T00:00:00" maxDate="2022-09-01T00:00:00"/>
    </cacheField>
    <cacheField name="Сезон" numFmtId="0">
      <sharedItems/>
    </cacheField>
    <cacheField name="К-т сезонности" numFmtId="9">
      <sharedItems containsSemiMixedTypes="0" containsString="0" containsNumber="1" minValue="0.5" maxValue="1"/>
    </cacheField>
    <cacheField name="Мастеров в 1 салоне" numFmtId="0">
      <sharedItems containsSemiMixedTypes="0" containsString="0" containsNumber="1" containsInteger="1" minValue="0" maxValue="8"/>
    </cacheField>
    <cacheField name="Мастеров в имидж. Салоне" numFmtId="0">
      <sharedItems containsSemiMixedTypes="0" containsString="0" containsNumber="1" containsInteger="1" minValue="0" maxValue="16"/>
    </cacheField>
    <cacheField name="Мастеров в 2ом Салоне" numFmtId="0">
      <sharedItems containsSemiMixedTypes="0" containsString="0" containsNumber="1" containsInteger="1" minValue="0" maxValue="8"/>
    </cacheField>
    <cacheField name="Итого:" numFmtId="3">
      <sharedItems containsSemiMixedTypes="0" containsString="0" containsNumber="1" minValue="0" maxValue="9468274.1204819288" count="12">
        <n v="0"/>
        <n v="887650.69879518088"/>
        <n v="1183534.2650602411"/>
        <n v="1775301.3975903618"/>
        <n v="3550602.7951807235"/>
        <n v="4438253.4939759048"/>
        <n v="5917671.3253012057"/>
        <n v="7101205.5903614471"/>
        <n v="7692972.7228915673"/>
        <n v="3846486.3614457836"/>
        <n v="4734137.0602409644"/>
        <n v="9468274.1204819288"/>
      </sharedItems>
    </cacheField>
    <cacheField name="Салон 1" numFmtId="3">
      <sharedItems containsSemiMixedTypes="0" containsString="0" containsNumber="1" minValue="0" maxValue="2367068.5301204822" count="5">
        <n v="0"/>
        <n v="887650.69879518088"/>
        <n v="1183534.2650602411"/>
        <n v="1775301.3975903618"/>
        <n v="2367068.5301204822"/>
      </sharedItems>
    </cacheField>
    <cacheField name="Имидж-Салон" numFmtId="3">
      <sharedItems containsSemiMixedTypes="0" containsString="0" containsNumber="1" minValue="0" maxValue="4734137.0602409644"/>
    </cacheField>
    <cacheField name="Салон 2" numFmtId="3">
      <sharedItems containsSemiMixedTypes="0" containsString="0" containsNumber="1" minValue="0" maxValue="2367068.5301204822"/>
    </cacheField>
    <cacheField name="Скидка за первое посещение" numFmtId="3">
      <sharedItems containsSemiMixedTypes="0" containsString="0" containsNumber="1" containsInteger="1" minValue="0" maxValue="0"/>
    </cacheField>
    <cacheField name="5-ое бесплатное" numFmtId="4">
      <sharedItems containsSemiMixedTypes="0" containsString="0" containsNumber="1" minValue="-660470.74698795204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2969.676396643517" createdVersion="6" refreshedVersion="6" minRefreshableVersion="3" recordCount="61" xr:uid="{00000000-000A-0000-FFFF-FFFF02000000}">
  <cacheSource type="worksheet">
    <worksheetSource ref="B6:U67" sheet="Скидки и клиентская база"/>
  </cacheSource>
  <cacheFields count="21">
    <cacheField name="№ периода" numFmtId="4">
      <sharedItems containsSemiMixedTypes="0" containsString="0" containsNumber="1" containsInteger="1" minValue="0" maxValue="60"/>
    </cacheField>
    <cacheField name="Месяц" numFmtId="4">
      <sharedItems containsSemiMixedTypes="0" containsString="0" containsNumber="1" containsInteger="1" minValue="1" maxValue="12"/>
    </cacheField>
    <cacheField name="Год" numFmtId="4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Дата" numFmtId="4">
      <sharedItems containsSemiMixedTypes="0" containsString="0" containsNumber="1" containsInteger="1" minValue="42978" maxValue="44804"/>
    </cacheField>
    <cacheField name="Сезонность" numFmtId="4">
      <sharedItems/>
    </cacheField>
    <cacheField name="Выручка" numFmtId="4">
      <sharedItems containsSemiMixedTypes="0" containsString="0" containsNumber="1" minValue="0" maxValue="9468274.1204819288"/>
    </cacheField>
    <cacheField name="К-т сезонности" numFmtId="4">
      <sharedItems containsSemiMixedTypes="0" containsString="0" containsNumber="1" minValue="0.5" maxValue="1"/>
    </cacheField>
    <cacheField name="Новых клиентов" numFmtId="4">
      <sharedItems containsSemiMixedTypes="0" containsString="0" containsNumber="1" minValue="0" maxValue="6106.9879518072303"/>
    </cacheField>
    <cacheField name="Период" numFmtId="4">
      <sharedItems containsSemiMixedTypes="0" containsString="0" containsNumber="1" containsInteger="1" minValue="0" maxValue="60"/>
    </cacheField>
    <cacheField name="Период2" numFmtId="4">
      <sharedItems containsSemiMixedTypes="0" containsString="0" containsNumber="1" containsInteger="1" minValue="2" maxValue="62"/>
    </cacheField>
    <cacheField name="Период3" numFmtId="4">
      <sharedItems containsSemiMixedTypes="0" containsString="0" containsNumber="1" containsInteger="1" minValue="4" maxValue="64"/>
    </cacheField>
    <cacheField name="Период4" numFmtId="4">
      <sharedItems containsSemiMixedTypes="0" containsString="0" containsNumber="1" containsInteger="1" minValue="6" maxValue="66"/>
    </cacheField>
    <cacheField name="Период5" numFmtId="4">
      <sharedItems containsSemiMixedTypes="0" containsString="0" containsNumber="1" containsInteger="1" minValue="8" maxValue="68"/>
    </cacheField>
    <cacheField name="Число клиентов" numFmtId="4">
      <sharedItems containsSemiMixedTypes="0" containsString="0" containsNumber="1" minValue="0" maxValue="3053.4939759036151"/>
    </cacheField>
    <cacheField name="Число клиентов2" numFmtId="4">
      <sharedItems containsSemiMixedTypes="0" containsString="0" containsNumber="1" minValue="0" maxValue="1832.0963855421689"/>
    </cacheField>
    <cacheField name="Число клиентов3" numFmtId="4">
      <sharedItems containsSemiMixedTypes="0" containsString="0" containsNumber="1" minValue="0" maxValue="610.6987951807231"/>
    </cacheField>
    <cacheField name="Число клиентов4" numFmtId="4">
      <sharedItems containsSemiMixedTypes="0" containsString="0" containsNumber="1" minValue="0" maxValue="305.34939759036155"/>
    </cacheField>
    <cacheField name="Число клиентов5" numFmtId="4">
      <sharedItems containsSemiMixedTypes="0" containsString="0" containsNumber="1" minValue="0" maxValue="305.34939759036155"/>
    </cacheField>
    <cacheField name="Скидка за 1 посещение" numFmtId="4">
      <sharedItems containsSemiMixedTypes="0" containsString="0" containsNumber="1" minValue="-2641882.9879518081" maxValue="0"/>
    </cacheField>
    <cacheField name="Скидка 5 бесплатное поесещение" numFmtId="4">
      <sharedItems containsSemiMixedTypes="0" containsString="0" containsNumber="1" minValue="-660470.74698795204" maxValue="0"/>
    </cacheField>
    <cacheField name="% от выручки (скидка 1 посещение)" numFmtId="0" formula="-'Скидка за 1 посещение'/Выручка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3116.912165972222" createdVersion="6" refreshedVersion="6" minRefreshableVersion="3" recordCount="61" xr:uid="{85B4F2FB-5A34-42E5-846E-DD0B0C574655}">
  <cacheSource type="worksheet">
    <worksheetSource ref="C7:I68" sheet="РасшифровкаЗатрат"/>
  </cacheSource>
  <cacheFields count="7">
    <cacheField name="Месяц" numFmtId="4">
      <sharedItems containsSemiMixedTypes="0" containsString="0" containsNumber="1" containsInteger="1" minValue="1" maxValue="12"/>
    </cacheField>
    <cacheField name="Год" numFmtId="4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Дата" numFmtId="14">
      <sharedItems containsSemiMixedTypes="0" containsNonDate="0" containsDate="1" containsString="0" minDate="2018-02-28T00:00:00" maxDate="2023-03-01T00:00:00"/>
    </cacheField>
    <cacheField name="АХО" numFmtId="4">
      <sharedItems containsSemiMixedTypes="0" containsString="0" containsNumber="1" containsInteger="1" minValue="-70000" maxValue="0" count="2">
        <n v="0"/>
        <n v="-70000"/>
      </sharedItems>
    </cacheField>
    <cacheField name="Аренда" numFmtId="4">
      <sharedItems containsSemiMixedTypes="0" containsString="0" containsNumber="1" containsInteger="1" minValue="-75000" maxValue="0" count="2">
        <n v="0"/>
        <n v="-75000"/>
      </sharedItems>
    </cacheField>
    <cacheField name="Расходы на производство" numFmtId="4">
      <sharedItems containsSemiMixedTypes="0" containsString="0" containsNumber="1" containsInteger="1" minValue="-5000" maxValue="0" count="2">
        <n v="0"/>
        <n v="-5000"/>
      </sharedItems>
    </cacheField>
    <cacheField name="Реклама и маркетинг" numFmtId="4">
      <sharedItems containsSemiMixedTypes="0" containsString="0" containsNumber="1" containsInteger="1" minValue="-5000" maxValue="0" count="2">
        <n v="0"/>
        <n v="-5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3117.575795138888" createdVersion="6" refreshedVersion="6" minRefreshableVersion="3" recordCount="61" xr:uid="{150305C2-353A-4E07-AF83-7FFD8CF290ED}">
  <cacheSource type="worksheet">
    <worksheetSource ref="B6:O67" sheet="План продаж.Кол-во"/>
  </cacheSource>
  <cacheFields count="14">
    <cacheField name="№ периода" numFmtId="4">
      <sharedItems containsSemiMixedTypes="0" containsString="0" containsNumber="1" containsInteger="1" minValue="0" maxValue="60"/>
    </cacheField>
    <cacheField name="Месяц" numFmtId="4">
      <sharedItems containsSemiMixedTypes="0" containsString="0" containsNumber="1" containsInteger="1" minValue="1" maxValue="12"/>
    </cacheField>
    <cacheField name="Год" numFmtId="4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Дата" numFmtId="14">
      <sharedItems containsSemiMixedTypes="0" containsNonDate="0" containsDate="1" containsString="0" minDate="2018-02-28T00:00:00" maxDate="2023-03-01T00:00:00"/>
    </cacheField>
    <cacheField name="Сезон" numFmtId="4">
      <sharedItems/>
    </cacheField>
    <cacheField name="К-т сезонности" numFmtId="9">
      <sharedItems containsSemiMixedTypes="0" containsString="0" containsNumber="1" containsInteger="1" minValue="1" maxValue="1"/>
    </cacheField>
    <cacheField name="Мастеров в 1 салоне" numFmtId="4">
      <sharedItems containsSemiMixedTypes="0" containsString="0" containsNumber="1" containsInteger="1" minValue="0" maxValue="0"/>
    </cacheField>
    <cacheField name="Мастеров в имидж. Салоне" numFmtId="4">
      <sharedItems containsSemiMixedTypes="0" containsString="0" containsNumber="1" containsInteger="1" minValue="0" maxValue="0"/>
    </cacheField>
    <cacheField name="Мастеров в 2ом Салоне" numFmtId="4">
      <sharedItems containsSemiMixedTypes="0" containsString="0" containsNumber="1" containsInteger="1" minValue="0" maxValue="0"/>
    </cacheField>
    <cacheField name="Итого:" numFmtId="4">
      <sharedItems containsString="0" containsBlank="1" containsNumber="1" minValue="23378.358319726878" maxValue="103409.03468408293"/>
    </cacheField>
    <cacheField name="Точка продаж №1" numFmtId="4">
      <sharedItems containsSemiMixedTypes="0" containsString="0" containsNumber="1" minValue="0" maxValue="8906.0412646578588"/>
    </cacheField>
    <cacheField name="Точка продаж №2" numFmtId="4">
      <sharedItems containsSemiMixedTypes="0" containsString="0" containsNumber="1" minValue="0" maxValue="20595.2204245213"/>
    </cacheField>
    <cacheField name="Оптовые поставки" numFmtId="4">
      <sharedItems containsSemiMixedTypes="0" containsString="0" containsNumber="1" minValue="0" maxValue="54425.807728464701"/>
    </cacheField>
    <cacheField name="Розничные продажи через интернет магазин" numFmtId="4">
      <sharedItems containsSemiMixedTypes="0" containsString="0" containsNumber="1" minValue="0" maxValue="19481.9652664390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3117.824711111112" createdVersion="6" refreshedVersion="6" minRefreshableVersion="3" recordCount="125" xr:uid="{B60A5A85-BBD0-4919-ACFF-02EBB527C801}">
  <cacheSource type="worksheet">
    <worksheetSource ref="P4:Z129" sheet="Персонал"/>
  </cacheSource>
  <cacheFields count="11">
    <cacheField name="Год" numFmtId="4">
      <sharedItems containsSemiMixedTypes="0" containsString="0" containsNumber="1" containsInteger="1" minValue="0" maxValue="2023" count="7">
        <n v="2018"/>
        <n v="2019"/>
        <n v="2020"/>
        <n v="2021"/>
        <n v="2022"/>
        <n v="2023"/>
        <n v="0"/>
      </sharedItems>
    </cacheField>
    <cacheField name="Точка продаж №1" numFmtId="4">
      <sharedItems containsSemiMixedTypes="0" containsString="0" containsNumber="1" containsInteger="1" minValue="0" maxValue="39000"/>
    </cacheField>
    <cacheField name="Точка продаж №2" numFmtId="4">
      <sharedItems containsSemiMixedTypes="0" containsString="0" containsNumber="1" containsInteger="1" minValue="0" maxValue="39000"/>
    </cacheField>
    <cacheField name="Оптовые поставки" numFmtId="4">
      <sharedItems containsSemiMixedTypes="0" containsString="0" containsNumber="1" containsInteger="1" minValue="0" maxValue="0"/>
    </cacheField>
    <cacheField name="Розничные продажи через интернет магазин" numFmtId="4">
      <sharedItems containsSemiMixedTypes="0" containsString="0" containsNumber="1" containsInteger="1" minValue="0" maxValue="0"/>
    </cacheField>
    <cacheField name="Общие" numFmtId="4">
      <sharedItems containsSemiMixedTypes="0" containsString="0" containsNumber="1" containsInteger="1" minValue="0" maxValue="715000"/>
    </cacheField>
    <cacheField name="Итого:" numFmtId="4">
      <sharedItems containsSemiMixedTypes="0" containsString="0" containsNumber="1" containsInteger="1" minValue="0" maxValue="793000"/>
    </cacheField>
    <cacheField name="Фикс" numFmtId="4">
      <sharedItems containsSemiMixedTypes="0" containsString="0" containsNumber="1" containsInteger="1" minValue="0" maxValue="610000"/>
    </cacheField>
    <cacheField name="Белая" numFmtId="4">
      <sharedItems containsSemiMixedTypes="0" containsString="0" containsNumber="1" containsInteger="1" minValue="0" maxValue="0"/>
    </cacheField>
    <cacheField name="Взносы" numFmtId="4">
      <sharedItems containsSemiMixedTypes="0" containsString="0" containsNumber="1" containsInteger="1" minValue="0" maxValue="183000"/>
    </cacheField>
    <cacheField name="Итого:2" numFmtId="4">
      <sharedItems containsSemiMixedTypes="0" containsString="0" containsNumber="1" containsInteger="1" minValue="0" maxValue="79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">
  <r>
    <n v="0"/>
    <x v="0"/>
    <x v="0"/>
    <x v="0"/>
    <x v="0"/>
    <n v="0"/>
  </r>
  <r>
    <n v="1"/>
    <x v="0"/>
    <x v="0"/>
    <x v="0"/>
    <x v="0"/>
    <n v="0"/>
  </r>
  <r>
    <n v="2"/>
    <x v="0"/>
    <x v="1"/>
    <x v="0"/>
    <x v="0"/>
    <n v="270000"/>
  </r>
  <r>
    <n v="3"/>
    <x v="0"/>
    <x v="1"/>
    <x v="0"/>
    <x v="0"/>
    <n v="270000"/>
  </r>
  <r>
    <n v="4"/>
    <x v="0"/>
    <x v="1"/>
    <x v="0"/>
    <x v="0"/>
    <n v="270000"/>
  </r>
  <r>
    <n v="5"/>
    <x v="1"/>
    <x v="1"/>
    <x v="0"/>
    <x v="0"/>
    <n v="270000"/>
  </r>
  <r>
    <n v="6"/>
    <x v="1"/>
    <x v="1"/>
    <x v="0"/>
    <x v="0"/>
    <n v="270000"/>
  </r>
  <r>
    <n v="7"/>
    <x v="1"/>
    <x v="1"/>
    <x v="0"/>
    <x v="0"/>
    <n v="270000"/>
  </r>
  <r>
    <n v="8"/>
    <x v="1"/>
    <x v="1"/>
    <x v="0"/>
    <x v="0"/>
    <n v="270000"/>
  </r>
  <r>
    <n v="9"/>
    <x v="1"/>
    <x v="1"/>
    <x v="0"/>
    <x v="0"/>
    <n v="270000"/>
  </r>
  <r>
    <n v="10"/>
    <x v="1"/>
    <x v="1"/>
    <x v="0"/>
    <x v="0"/>
    <n v="270000"/>
  </r>
  <r>
    <n v="11"/>
    <x v="1"/>
    <x v="1"/>
    <x v="0"/>
    <x v="0"/>
    <n v="270000"/>
  </r>
  <r>
    <n v="12"/>
    <x v="1"/>
    <x v="1"/>
    <x v="1"/>
    <x v="0"/>
    <n v="590000"/>
  </r>
  <r>
    <n v="13"/>
    <x v="1"/>
    <x v="1"/>
    <x v="1"/>
    <x v="0"/>
    <n v="590000"/>
  </r>
  <r>
    <n v="14"/>
    <x v="1"/>
    <x v="1"/>
    <x v="1"/>
    <x v="1"/>
    <n v="810000"/>
  </r>
  <r>
    <n v="15"/>
    <x v="1"/>
    <x v="1"/>
    <x v="1"/>
    <x v="1"/>
    <n v="810000"/>
  </r>
  <r>
    <n v="16"/>
    <x v="1"/>
    <x v="1"/>
    <x v="1"/>
    <x v="1"/>
    <n v="810000"/>
  </r>
  <r>
    <n v="17"/>
    <x v="2"/>
    <x v="1"/>
    <x v="1"/>
    <x v="1"/>
    <n v="810000"/>
  </r>
  <r>
    <n v="18"/>
    <x v="2"/>
    <x v="1"/>
    <x v="1"/>
    <x v="1"/>
    <n v="810000"/>
  </r>
  <r>
    <n v="19"/>
    <x v="2"/>
    <x v="1"/>
    <x v="1"/>
    <x v="1"/>
    <n v="810000"/>
  </r>
  <r>
    <n v="20"/>
    <x v="2"/>
    <x v="1"/>
    <x v="1"/>
    <x v="1"/>
    <n v="810000"/>
  </r>
  <r>
    <n v="21"/>
    <x v="2"/>
    <x v="1"/>
    <x v="1"/>
    <x v="1"/>
    <n v="810000"/>
  </r>
  <r>
    <n v="22"/>
    <x v="2"/>
    <x v="1"/>
    <x v="1"/>
    <x v="1"/>
    <n v="810000"/>
  </r>
  <r>
    <n v="23"/>
    <x v="2"/>
    <x v="1"/>
    <x v="1"/>
    <x v="1"/>
    <n v="810000"/>
  </r>
  <r>
    <n v="24"/>
    <x v="2"/>
    <x v="1"/>
    <x v="1"/>
    <x v="1"/>
    <n v="810000"/>
  </r>
  <r>
    <n v="25"/>
    <x v="2"/>
    <x v="1"/>
    <x v="1"/>
    <x v="1"/>
    <n v="810000"/>
  </r>
  <r>
    <n v="26"/>
    <x v="2"/>
    <x v="1"/>
    <x v="1"/>
    <x v="1"/>
    <n v="810000"/>
  </r>
  <r>
    <n v="27"/>
    <x v="2"/>
    <x v="1"/>
    <x v="1"/>
    <x v="1"/>
    <n v="810000"/>
  </r>
  <r>
    <n v="28"/>
    <x v="2"/>
    <x v="1"/>
    <x v="1"/>
    <x v="1"/>
    <n v="810000"/>
  </r>
  <r>
    <n v="29"/>
    <x v="3"/>
    <x v="1"/>
    <x v="1"/>
    <x v="1"/>
    <n v="810000"/>
  </r>
  <r>
    <n v="30"/>
    <x v="3"/>
    <x v="1"/>
    <x v="1"/>
    <x v="1"/>
    <n v="810000"/>
  </r>
  <r>
    <n v="31"/>
    <x v="3"/>
    <x v="1"/>
    <x v="1"/>
    <x v="1"/>
    <n v="810000"/>
  </r>
  <r>
    <n v="32"/>
    <x v="3"/>
    <x v="1"/>
    <x v="1"/>
    <x v="1"/>
    <n v="810000"/>
  </r>
  <r>
    <n v="33"/>
    <x v="3"/>
    <x v="1"/>
    <x v="1"/>
    <x v="1"/>
    <n v="810000"/>
  </r>
  <r>
    <n v="34"/>
    <x v="3"/>
    <x v="1"/>
    <x v="1"/>
    <x v="1"/>
    <n v="810000"/>
  </r>
  <r>
    <n v="35"/>
    <x v="3"/>
    <x v="1"/>
    <x v="1"/>
    <x v="1"/>
    <n v="810000"/>
  </r>
  <r>
    <n v="36"/>
    <x v="3"/>
    <x v="1"/>
    <x v="1"/>
    <x v="1"/>
    <n v="810000"/>
  </r>
  <r>
    <n v="37"/>
    <x v="3"/>
    <x v="1"/>
    <x v="1"/>
    <x v="1"/>
    <n v="810000"/>
  </r>
  <r>
    <n v="38"/>
    <x v="3"/>
    <x v="1"/>
    <x v="1"/>
    <x v="1"/>
    <n v="810000"/>
  </r>
  <r>
    <n v="39"/>
    <x v="3"/>
    <x v="1"/>
    <x v="1"/>
    <x v="1"/>
    <n v="810000"/>
  </r>
  <r>
    <n v="40"/>
    <x v="3"/>
    <x v="1"/>
    <x v="1"/>
    <x v="1"/>
    <n v="810000"/>
  </r>
  <r>
    <n v="41"/>
    <x v="4"/>
    <x v="1"/>
    <x v="1"/>
    <x v="1"/>
    <n v="810000"/>
  </r>
  <r>
    <n v="42"/>
    <x v="4"/>
    <x v="1"/>
    <x v="1"/>
    <x v="1"/>
    <n v="810000"/>
  </r>
  <r>
    <n v="43"/>
    <x v="4"/>
    <x v="1"/>
    <x v="1"/>
    <x v="1"/>
    <n v="810000"/>
  </r>
  <r>
    <n v="44"/>
    <x v="4"/>
    <x v="1"/>
    <x v="1"/>
    <x v="1"/>
    <n v="810000"/>
  </r>
  <r>
    <n v="45"/>
    <x v="4"/>
    <x v="1"/>
    <x v="1"/>
    <x v="1"/>
    <n v="810000"/>
  </r>
  <r>
    <n v="46"/>
    <x v="4"/>
    <x v="1"/>
    <x v="1"/>
    <x v="1"/>
    <n v="810000"/>
  </r>
  <r>
    <n v="47"/>
    <x v="4"/>
    <x v="1"/>
    <x v="1"/>
    <x v="1"/>
    <n v="810000"/>
  </r>
  <r>
    <n v="48"/>
    <x v="4"/>
    <x v="1"/>
    <x v="1"/>
    <x v="1"/>
    <n v="810000"/>
  </r>
  <r>
    <n v="49"/>
    <x v="4"/>
    <x v="1"/>
    <x v="1"/>
    <x v="1"/>
    <n v="810000"/>
  </r>
  <r>
    <n v="50"/>
    <x v="4"/>
    <x v="1"/>
    <x v="1"/>
    <x v="1"/>
    <n v="810000"/>
  </r>
  <r>
    <n v="51"/>
    <x v="4"/>
    <x v="1"/>
    <x v="1"/>
    <x v="1"/>
    <n v="810000"/>
  </r>
  <r>
    <n v="52"/>
    <x v="4"/>
    <x v="1"/>
    <x v="1"/>
    <x v="1"/>
    <n v="810000"/>
  </r>
  <r>
    <n v="53"/>
    <x v="5"/>
    <x v="1"/>
    <x v="1"/>
    <x v="1"/>
    <n v="810000"/>
  </r>
  <r>
    <n v="54"/>
    <x v="5"/>
    <x v="1"/>
    <x v="1"/>
    <x v="1"/>
    <n v="810000"/>
  </r>
  <r>
    <n v="55"/>
    <x v="5"/>
    <x v="1"/>
    <x v="1"/>
    <x v="1"/>
    <n v="810000"/>
  </r>
  <r>
    <n v="56"/>
    <x v="5"/>
    <x v="1"/>
    <x v="1"/>
    <x v="1"/>
    <n v="810000"/>
  </r>
  <r>
    <n v="57"/>
    <x v="5"/>
    <x v="1"/>
    <x v="1"/>
    <x v="1"/>
    <n v="810000"/>
  </r>
  <r>
    <n v="58"/>
    <x v="5"/>
    <x v="1"/>
    <x v="1"/>
    <x v="1"/>
    <n v="810000"/>
  </r>
  <r>
    <n v="59"/>
    <x v="5"/>
    <x v="1"/>
    <x v="1"/>
    <x v="1"/>
    <n v="810000"/>
  </r>
  <r>
    <n v="60"/>
    <x v="5"/>
    <x v="1"/>
    <x v="1"/>
    <x v="1"/>
    <n v="810000"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  <r>
    <n v="0"/>
    <x v="6"/>
    <x v="0"/>
    <x v="0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1">
  <r>
    <n v="0"/>
    <n v="8"/>
    <x v="0"/>
    <d v="2017-08-31T00:00:00"/>
    <s v="Лето"/>
    <n v="0.5"/>
    <n v="0"/>
    <n v="0"/>
    <n v="0"/>
    <x v="0"/>
    <x v="0"/>
    <n v="0"/>
    <n v="0"/>
    <n v="0"/>
    <n v="0"/>
  </r>
  <r>
    <n v="1"/>
    <n v="9"/>
    <x v="0"/>
    <d v="2017-09-30T00:00:00"/>
    <s v="Осень"/>
    <n v="0.75"/>
    <n v="0"/>
    <n v="0"/>
    <n v="0"/>
    <x v="0"/>
    <x v="0"/>
    <n v="0"/>
    <n v="0"/>
    <n v="0"/>
    <n v="0"/>
  </r>
  <r>
    <n v="2"/>
    <n v="10"/>
    <x v="0"/>
    <d v="2017-10-31T00:00:00"/>
    <s v="Осень"/>
    <n v="0.75"/>
    <n v="4"/>
    <n v="0"/>
    <n v="0"/>
    <x v="1"/>
    <x v="1"/>
    <n v="0"/>
    <n v="0"/>
    <n v="0"/>
    <n v="0"/>
  </r>
  <r>
    <n v="3"/>
    <n v="11"/>
    <x v="0"/>
    <d v="2017-11-30T00:00:00"/>
    <s v="Осень"/>
    <n v="0.75"/>
    <n v="4"/>
    <n v="0"/>
    <n v="0"/>
    <x v="1"/>
    <x v="1"/>
    <n v="0"/>
    <n v="0"/>
    <n v="0"/>
    <n v="0"/>
  </r>
  <r>
    <n v="4"/>
    <n v="12"/>
    <x v="0"/>
    <d v="2017-12-31T00:00:00"/>
    <s v="Зима"/>
    <n v="1"/>
    <n v="4"/>
    <n v="0"/>
    <n v="0"/>
    <x v="2"/>
    <x v="2"/>
    <n v="0"/>
    <n v="0"/>
    <n v="0"/>
    <n v="0"/>
  </r>
  <r>
    <n v="5"/>
    <n v="1"/>
    <x v="1"/>
    <d v="2018-01-31T00:00:00"/>
    <s v="Зима"/>
    <n v="1"/>
    <n v="4"/>
    <n v="0"/>
    <n v="0"/>
    <x v="2"/>
    <x v="2"/>
    <n v="0"/>
    <n v="0"/>
    <n v="0"/>
    <n v="0"/>
  </r>
  <r>
    <n v="6"/>
    <n v="2"/>
    <x v="1"/>
    <d v="2018-02-28T00:00:00"/>
    <s v="Зима"/>
    <n v="1"/>
    <n v="4"/>
    <n v="0"/>
    <n v="0"/>
    <x v="2"/>
    <x v="2"/>
    <n v="0"/>
    <n v="0"/>
    <n v="0"/>
    <n v="0"/>
  </r>
  <r>
    <n v="7"/>
    <n v="3"/>
    <x v="1"/>
    <d v="2018-03-31T00:00:00"/>
    <s v="Весна"/>
    <n v="1"/>
    <n v="4"/>
    <n v="0"/>
    <n v="0"/>
    <x v="2"/>
    <x v="2"/>
    <n v="0"/>
    <n v="0"/>
    <n v="0"/>
    <n v="0"/>
  </r>
  <r>
    <n v="8"/>
    <n v="4"/>
    <x v="1"/>
    <d v="2018-04-30T00:00:00"/>
    <s v="Весна"/>
    <n v="1"/>
    <n v="6"/>
    <n v="0"/>
    <n v="0"/>
    <x v="3"/>
    <x v="3"/>
    <n v="0"/>
    <n v="0"/>
    <n v="0"/>
    <n v="0"/>
  </r>
  <r>
    <n v="9"/>
    <n v="5"/>
    <x v="1"/>
    <d v="2018-05-31T00:00:00"/>
    <s v="Весна"/>
    <n v="1"/>
    <n v="6"/>
    <n v="0"/>
    <n v="0"/>
    <x v="3"/>
    <x v="3"/>
    <n v="0"/>
    <n v="0"/>
    <n v="0"/>
    <n v="0"/>
  </r>
  <r>
    <n v="10"/>
    <n v="6"/>
    <x v="1"/>
    <d v="2018-06-30T00:00:00"/>
    <s v="Лето"/>
    <n v="0.5"/>
    <n v="6"/>
    <n v="0"/>
    <n v="0"/>
    <x v="1"/>
    <x v="1"/>
    <n v="0"/>
    <n v="0"/>
    <n v="0"/>
    <n v="-61919.1325301205"/>
  </r>
  <r>
    <n v="11"/>
    <n v="7"/>
    <x v="1"/>
    <d v="2018-07-31T00:00:00"/>
    <s v="Лето"/>
    <n v="0.5"/>
    <n v="6"/>
    <n v="0"/>
    <n v="0"/>
    <x v="1"/>
    <x v="1"/>
    <n v="0"/>
    <n v="0"/>
    <n v="0"/>
    <n v="-61919.1325301205"/>
  </r>
  <r>
    <n v="12"/>
    <n v="8"/>
    <x v="1"/>
    <d v="2018-08-31T00:00:00"/>
    <s v="Лето"/>
    <n v="0.5"/>
    <n v="8"/>
    <n v="0"/>
    <n v="0"/>
    <x v="2"/>
    <x v="2"/>
    <n v="0"/>
    <n v="0"/>
    <n v="0"/>
    <n v="-82558.843373494004"/>
  </r>
  <r>
    <n v="13"/>
    <n v="9"/>
    <x v="1"/>
    <d v="2018-09-30T00:00:00"/>
    <s v="Осень"/>
    <n v="0.75"/>
    <n v="8"/>
    <n v="8"/>
    <n v="0"/>
    <x v="4"/>
    <x v="3"/>
    <n v="1775301.3975903618"/>
    <n v="0"/>
    <n v="0"/>
    <n v="-82558.843373494004"/>
  </r>
  <r>
    <n v="14"/>
    <n v="10"/>
    <x v="1"/>
    <d v="2018-10-31T00:00:00"/>
    <s v="Осень"/>
    <n v="0.75"/>
    <n v="8"/>
    <n v="8"/>
    <n v="4"/>
    <x v="5"/>
    <x v="3"/>
    <n v="1775301.3975903618"/>
    <n v="887650.69879518088"/>
    <n v="0"/>
    <n v="-82558.843373494004"/>
  </r>
  <r>
    <n v="15"/>
    <n v="11"/>
    <x v="1"/>
    <d v="2018-11-30T00:00:00"/>
    <s v="Осень"/>
    <n v="0.75"/>
    <n v="8"/>
    <n v="8"/>
    <n v="4"/>
    <x v="5"/>
    <x v="3"/>
    <n v="1775301.3975903618"/>
    <n v="887650.69879518088"/>
    <n v="0"/>
    <n v="-82558.843373494004"/>
  </r>
  <r>
    <n v="16"/>
    <n v="12"/>
    <x v="1"/>
    <d v="2018-12-31T00:00:00"/>
    <s v="Зима"/>
    <n v="1"/>
    <n v="8"/>
    <n v="8"/>
    <n v="4"/>
    <x v="6"/>
    <x v="4"/>
    <n v="2367068.5301204822"/>
    <n v="1183534.2650602411"/>
    <n v="0"/>
    <n v="-123838.265060241"/>
  </r>
  <r>
    <n v="17"/>
    <n v="1"/>
    <x v="2"/>
    <d v="2019-01-31T00:00:00"/>
    <s v="Зима"/>
    <n v="1"/>
    <n v="8"/>
    <n v="8"/>
    <n v="4"/>
    <x v="6"/>
    <x v="4"/>
    <n v="2367068.5301204822"/>
    <n v="1183534.2650602411"/>
    <n v="0"/>
    <n v="-123838.265060241"/>
  </r>
  <r>
    <n v="18"/>
    <n v="2"/>
    <x v="2"/>
    <d v="2019-02-28T00:00:00"/>
    <s v="Зима"/>
    <n v="1"/>
    <n v="8"/>
    <n v="8"/>
    <n v="4"/>
    <x v="6"/>
    <x v="4"/>
    <n v="2367068.5301204822"/>
    <n v="1183534.2650602411"/>
    <n v="0"/>
    <n v="-61919.1325301205"/>
  </r>
  <r>
    <n v="19"/>
    <n v="3"/>
    <x v="2"/>
    <d v="2019-03-31T00:00:00"/>
    <s v="Весна"/>
    <n v="1"/>
    <n v="8"/>
    <n v="12"/>
    <n v="4"/>
    <x v="7"/>
    <x v="4"/>
    <n v="3550602.7951807235"/>
    <n v="1183534.2650602411"/>
    <n v="0"/>
    <n v="-61919.1325301205"/>
  </r>
  <r>
    <n v="20"/>
    <n v="4"/>
    <x v="2"/>
    <d v="2019-04-30T00:00:00"/>
    <s v="Весна"/>
    <n v="1"/>
    <n v="8"/>
    <n v="12"/>
    <n v="6"/>
    <x v="8"/>
    <x v="4"/>
    <n v="3550602.7951807235"/>
    <n v="1775301.3975903618"/>
    <n v="0"/>
    <n v="-82558.843373494004"/>
  </r>
  <r>
    <n v="21"/>
    <n v="5"/>
    <x v="2"/>
    <d v="2019-05-31T00:00:00"/>
    <s v="Весна"/>
    <n v="1"/>
    <n v="8"/>
    <n v="12"/>
    <n v="6"/>
    <x v="8"/>
    <x v="4"/>
    <n v="3550602.7951807235"/>
    <n v="1775301.3975903618"/>
    <n v="0"/>
    <n v="-247676.530120482"/>
  </r>
  <r>
    <n v="22"/>
    <n v="6"/>
    <x v="2"/>
    <d v="2019-06-30T00:00:00"/>
    <s v="Лето"/>
    <n v="0.5"/>
    <n v="8"/>
    <n v="12"/>
    <n v="6"/>
    <x v="9"/>
    <x v="2"/>
    <n v="1775301.3975903618"/>
    <n v="887650.69879518088"/>
    <n v="0"/>
    <n v="-309595.66265060246"/>
  </r>
  <r>
    <n v="23"/>
    <n v="7"/>
    <x v="2"/>
    <d v="2019-07-31T00:00:00"/>
    <s v="Лето"/>
    <n v="0.5"/>
    <n v="8"/>
    <n v="12"/>
    <n v="6"/>
    <x v="9"/>
    <x v="2"/>
    <n v="1775301.3975903618"/>
    <n v="887650.69879518088"/>
    <n v="0"/>
    <n v="-309595.66265060246"/>
  </r>
  <r>
    <n v="24"/>
    <n v="8"/>
    <x v="2"/>
    <d v="2019-08-31T00:00:00"/>
    <s v="Лето"/>
    <n v="0.5"/>
    <n v="8"/>
    <n v="16"/>
    <n v="8"/>
    <x v="10"/>
    <x v="2"/>
    <n v="2367068.5301204822"/>
    <n v="1183534.2650602411"/>
    <n v="0"/>
    <n v="-412794.21686746995"/>
  </r>
  <r>
    <n v="25"/>
    <n v="9"/>
    <x v="2"/>
    <d v="2019-09-30T00:00:00"/>
    <s v="Осень"/>
    <n v="0.75"/>
    <n v="8"/>
    <n v="16"/>
    <n v="8"/>
    <x v="7"/>
    <x v="3"/>
    <n v="3550602.7951807235"/>
    <n v="1775301.3975903618"/>
    <n v="0"/>
    <n v="-412794.21686746995"/>
  </r>
  <r>
    <n v="26"/>
    <n v="10"/>
    <x v="2"/>
    <d v="2019-10-31T00:00:00"/>
    <s v="Осень"/>
    <n v="0.75"/>
    <n v="8"/>
    <n v="16"/>
    <n v="8"/>
    <x v="7"/>
    <x v="3"/>
    <n v="3550602.7951807235"/>
    <n v="1775301.3975903618"/>
    <n v="0"/>
    <n v="-412794.21686746995"/>
  </r>
  <r>
    <n v="27"/>
    <n v="11"/>
    <x v="2"/>
    <d v="2019-11-30T00:00:00"/>
    <s v="Осень"/>
    <n v="0.75"/>
    <n v="8"/>
    <n v="16"/>
    <n v="8"/>
    <x v="7"/>
    <x v="3"/>
    <n v="3550602.7951807235"/>
    <n v="1775301.3975903618"/>
    <n v="0"/>
    <n v="-495353.060240964"/>
  </r>
  <r>
    <n v="28"/>
    <n v="12"/>
    <x v="2"/>
    <d v="2019-12-31T00:00:00"/>
    <s v="Зима"/>
    <n v="1"/>
    <n v="8"/>
    <n v="16"/>
    <n v="8"/>
    <x v="11"/>
    <x v="4"/>
    <n v="4734137.0602409644"/>
    <n v="2367068.5301204822"/>
    <n v="0"/>
    <n v="-536632.48192771093"/>
  </r>
  <r>
    <n v="29"/>
    <n v="1"/>
    <x v="3"/>
    <d v="2020-01-31T00:00:00"/>
    <s v="Зима"/>
    <n v="1"/>
    <n v="8"/>
    <n v="16"/>
    <n v="8"/>
    <x v="11"/>
    <x v="4"/>
    <n v="4734137.0602409644"/>
    <n v="2367068.5301204822"/>
    <n v="0"/>
    <n v="-536632.48192771093"/>
  </r>
  <r>
    <n v="30"/>
    <n v="2"/>
    <x v="3"/>
    <d v="2020-02-29T00:00:00"/>
    <s v="Зима"/>
    <n v="1"/>
    <n v="8"/>
    <n v="16"/>
    <n v="8"/>
    <x v="11"/>
    <x v="4"/>
    <n v="4734137.0602409644"/>
    <n v="2367068.5301204822"/>
    <n v="0"/>
    <n v="-268316.24096385547"/>
  </r>
  <r>
    <n v="31"/>
    <n v="3"/>
    <x v="3"/>
    <d v="2020-03-31T00:00:00"/>
    <s v="Весна"/>
    <n v="1"/>
    <n v="8"/>
    <n v="16"/>
    <n v="8"/>
    <x v="11"/>
    <x v="4"/>
    <n v="4734137.0602409644"/>
    <n v="2367068.5301204822"/>
    <n v="0"/>
    <n v="-268316.24096385547"/>
  </r>
  <r>
    <n v="32"/>
    <n v="4"/>
    <x v="3"/>
    <d v="2020-04-30T00:00:00"/>
    <s v="Весна"/>
    <n v="1"/>
    <n v="8"/>
    <n v="16"/>
    <n v="8"/>
    <x v="11"/>
    <x v="4"/>
    <n v="4734137.0602409644"/>
    <n v="2367068.5301204822"/>
    <n v="0"/>
    <n v="-330235.37349397602"/>
  </r>
  <r>
    <n v="33"/>
    <n v="5"/>
    <x v="3"/>
    <d v="2020-05-31T00:00:00"/>
    <s v="Весна"/>
    <n v="1"/>
    <n v="8"/>
    <n v="16"/>
    <n v="8"/>
    <x v="11"/>
    <x v="4"/>
    <n v="4734137.0602409644"/>
    <n v="2367068.5301204822"/>
    <n v="0"/>
    <n v="-495353.060240964"/>
  </r>
  <r>
    <n v="34"/>
    <n v="6"/>
    <x v="3"/>
    <d v="2020-06-30T00:00:00"/>
    <s v="Лето"/>
    <n v="0.5"/>
    <n v="8"/>
    <n v="16"/>
    <n v="8"/>
    <x v="10"/>
    <x v="2"/>
    <n v="2367068.5301204822"/>
    <n v="1183534.2650602411"/>
    <n v="0"/>
    <n v="-495353.060240964"/>
  </r>
  <r>
    <n v="35"/>
    <n v="7"/>
    <x v="3"/>
    <d v="2020-07-31T00:00:00"/>
    <s v="Лето"/>
    <n v="0.5"/>
    <n v="8"/>
    <n v="16"/>
    <n v="8"/>
    <x v="10"/>
    <x v="2"/>
    <n v="2367068.5301204822"/>
    <n v="1183534.2650602411"/>
    <n v="0"/>
    <n v="-495353.060240964"/>
  </r>
  <r>
    <n v="36"/>
    <n v="8"/>
    <x v="3"/>
    <d v="2020-08-31T00:00:00"/>
    <s v="Лето"/>
    <n v="0.5"/>
    <n v="8"/>
    <n v="16"/>
    <n v="8"/>
    <x v="10"/>
    <x v="2"/>
    <n v="2367068.5301204822"/>
    <n v="1183534.2650602411"/>
    <n v="0"/>
    <n v="-660470.74698795204"/>
  </r>
  <r>
    <n v="37"/>
    <n v="9"/>
    <x v="3"/>
    <d v="2020-09-30T00:00:00"/>
    <s v="Осень"/>
    <n v="0.75"/>
    <n v="8"/>
    <n v="16"/>
    <n v="8"/>
    <x v="7"/>
    <x v="3"/>
    <n v="3550602.7951807235"/>
    <n v="1775301.3975903618"/>
    <n v="0"/>
    <n v="-660470.74698795204"/>
  </r>
  <r>
    <n v="38"/>
    <n v="10"/>
    <x v="3"/>
    <d v="2020-10-31T00:00:00"/>
    <s v="Осень"/>
    <n v="0.75"/>
    <n v="8"/>
    <n v="16"/>
    <n v="8"/>
    <x v="7"/>
    <x v="3"/>
    <n v="3550602.7951807235"/>
    <n v="1775301.3975903618"/>
    <n v="0"/>
    <n v="-660470.74698795204"/>
  </r>
  <r>
    <n v="39"/>
    <n v="11"/>
    <x v="3"/>
    <d v="2020-11-30T00:00:00"/>
    <s v="Осень"/>
    <n v="0.75"/>
    <n v="8"/>
    <n v="16"/>
    <n v="8"/>
    <x v="7"/>
    <x v="3"/>
    <n v="3550602.7951807235"/>
    <n v="1775301.3975903618"/>
    <n v="0"/>
    <n v="-660470.74698795204"/>
  </r>
  <r>
    <n v="40"/>
    <n v="12"/>
    <x v="3"/>
    <d v="2020-12-31T00:00:00"/>
    <s v="Зима"/>
    <n v="1"/>
    <n v="8"/>
    <n v="16"/>
    <n v="8"/>
    <x v="11"/>
    <x v="4"/>
    <n v="4734137.0602409644"/>
    <n v="2367068.5301204822"/>
    <n v="0"/>
    <n v="-660470.74698795204"/>
  </r>
  <r>
    <n v="41"/>
    <n v="1"/>
    <x v="4"/>
    <d v="2021-01-31T00:00:00"/>
    <s v="Зима"/>
    <n v="1"/>
    <n v="8"/>
    <n v="16"/>
    <n v="8"/>
    <x v="11"/>
    <x v="4"/>
    <n v="4734137.0602409644"/>
    <n v="2367068.5301204822"/>
    <n v="0"/>
    <n v="-660470.74698795204"/>
  </r>
  <r>
    <n v="42"/>
    <n v="2"/>
    <x v="4"/>
    <d v="2021-02-28T00:00:00"/>
    <s v="Зима"/>
    <n v="1"/>
    <n v="8"/>
    <n v="16"/>
    <n v="8"/>
    <x v="11"/>
    <x v="4"/>
    <n v="4734137.0602409644"/>
    <n v="2367068.5301204822"/>
    <n v="0"/>
    <n v="-330235.37349397602"/>
  </r>
  <r>
    <n v="43"/>
    <n v="3"/>
    <x v="4"/>
    <d v="2021-03-31T00:00:00"/>
    <s v="Весна"/>
    <n v="1"/>
    <n v="8"/>
    <n v="16"/>
    <n v="8"/>
    <x v="11"/>
    <x v="4"/>
    <n v="4734137.0602409644"/>
    <n v="2367068.5301204822"/>
    <n v="0"/>
    <n v="-330235.37349397602"/>
  </r>
  <r>
    <n v="44"/>
    <n v="4"/>
    <x v="4"/>
    <d v="2021-04-30T00:00:00"/>
    <s v="Весна"/>
    <n v="1"/>
    <n v="8"/>
    <n v="16"/>
    <n v="8"/>
    <x v="11"/>
    <x v="4"/>
    <n v="4734137.0602409644"/>
    <n v="2367068.5301204822"/>
    <n v="0"/>
    <n v="-330235.37349397602"/>
  </r>
  <r>
    <n v="45"/>
    <n v="5"/>
    <x v="4"/>
    <d v="2021-05-31T00:00:00"/>
    <s v="Весна"/>
    <n v="1"/>
    <n v="8"/>
    <n v="16"/>
    <n v="8"/>
    <x v="11"/>
    <x v="4"/>
    <n v="4734137.0602409644"/>
    <n v="2367068.5301204822"/>
    <n v="0"/>
    <n v="-495353.060240964"/>
  </r>
  <r>
    <n v="46"/>
    <n v="6"/>
    <x v="4"/>
    <d v="2021-06-30T00:00:00"/>
    <s v="Лето"/>
    <n v="0.5"/>
    <n v="8"/>
    <n v="16"/>
    <n v="8"/>
    <x v="10"/>
    <x v="2"/>
    <n v="2367068.5301204822"/>
    <n v="1183534.2650602411"/>
    <n v="0"/>
    <n v="-495353.060240964"/>
  </r>
  <r>
    <n v="47"/>
    <n v="7"/>
    <x v="4"/>
    <d v="2021-07-31T00:00:00"/>
    <s v="Лето"/>
    <n v="0.5"/>
    <n v="8"/>
    <n v="16"/>
    <n v="8"/>
    <x v="10"/>
    <x v="2"/>
    <n v="2367068.5301204822"/>
    <n v="1183534.2650602411"/>
    <n v="0"/>
    <n v="-495353.060240964"/>
  </r>
  <r>
    <n v="48"/>
    <n v="8"/>
    <x v="4"/>
    <d v="2021-08-31T00:00:00"/>
    <s v="Лето"/>
    <n v="0.5"/>
    <n v="8"/>
    <n v="16"/>
    <n v="8"/>
    <x v="10"/>
    <x v="2"/>
    <n v="2367068.5301204822"/>
    <n v="1183534.2650602411"/>
    <n v="0"/>
    <n v="-660470.74698795204"/>
  </r>
  <r>
    <n v="49"/>
    <n v="9"/>
    <x v="4"/>
    <d v="2021-09-30T00:00:00"/>
    <s v="Осень"/>
    <n v="0.75"/>
    <n v="8"/>
    <n v="16"/>
    <n v="8"/>
    <x v="7"/>
    <x v="3"/>
    <n v="3550602.7951807235"/>
    <n v="1775301.3975903618"/>
    <n v="0"/>
    <n v="-660470.74698795204"/>
  </r>
  <r>
    <n v="50"/>
    <n v="10"/>
    <x v="4"/>
    <d v="2021-10-31T00:00:00"/>
    <s v="Осень"/>
    <n v="0.75"/>
    <n v="8"/>
    <n v="16"/>
    <n v="8"/>
    <x v="7"/>
    <x v="3"/>
    <n v="3550602.7951807235"/>
    <n v="1775301.3975903618"/>
    <n v="0"/>
    <n v="-660470.74698795204"/>
  </r>
  <r>
    <n v="51"/>
    <n v="11"/>
    <x v="4"/>
    <d v="2021-11-30T00:00:00"/>
    <s v="Осень"/>
    <n v="0.75"/>
    <n v="8"/>
    <n v="16"/>
    <n v="8"/>
    <x v="7"/>
    <x v="3"/>
    <n v="3550602.7951807235"/>
    <n v="1775301.3975903618"/>
    <n v="0"/>
    <n v="-660470.74698795204"/>
  </r>
  <r>
    <n v="52"/>
    <n v="12"/>
    <x v="4"/>
    <d v="2021-12-31T00:00:00"/>
    <s v="Зима"/>
    <n v="1"/>
    <n v="8"/>
    <n v="16"/>
    <n v="8"/>
    <x v="11"/>
    <x v="4"/>
    <n v="4734137.0602409644"/>
    <n v="2367068.5301204822"/>
    <n v="0"/>
    <n v="-660470.74698795204"/>
  </r>
  <r>
    <n v="53"/>
    <n v="1"/>
    <x v="5"/>
    <d v="2022-01-31T00:00:00"/>
    <s v="Зима"/>
    <n v="1"/>
    <n v="8"/>
    <n v="16"/>
    <n v="8"/>
    <x v="11"/>
    <x v="4"/>
    <n v="4734137.0602409644"/>
    <n v="2367068.5301204822"/>
    <n v="0"/>
    <n v="-660470.74698795204"/>
  </r>
  <r>
    <n v="54"/>
    <n v="2"/>
    <x v="5"/>
    <d v="2022-02-28T00:00:00"/>
    <s v="Зима"/>
    <n v="1"/>
    <n v="8"/>
    <n v="16"/>
    <n v="8"/>
    <x v="11"/>
    <x v="4"/>
    <n v="4734137.0602409644"/>
    <n v="2367068.5301204822"/>
    <n v="0"/>
    <n v="-330235.37349397602"/>
  </r>
  <r>
    <n v="55"/>
    <n v="3"/>
    <x v="5"/>
    <d v="2022-03-31T00:00:00"/>
    <s v="Весна"/>
    <n v="1"/>
    <n v="8"/>
    <n v="16"/>
    <n v="8"/>
    <x v="11"/>
    <x v="4"/>
    <n v="4734137.0602409644"/>
    <n v="2367068.5301204822"/>
    <n v="0"/>
    <n v="-330235.37349397602"/>
  </r>
  <r>
    <n v="56"/>
    <n v="4"/>
    <x v="5"/>
    <d v="2022-04-30T00:00:00"/>
    <s v="Весна"/>
    <n v="1"/>
    <n v="8"/>
    <n v="16"/>
    <n v="8"/>
    <x v="11"/>
    <x v="4"/>
    <n v="4734137.0602409644"/>
    <n v="2367068.5301204822"/>
    <n v="0"/>
    <n v="-330235.37349397602"/>
  </r>
  <r>
    <n v="57"/>
    <n v="5"/>
    <x v="5"/>
    <d v="2022-05-31T00:00:00"/>
    <s v="Весна"/>
    <n v="1"/>
    <n v="8"/>
    <n v="16"/>
    <n v="8"/>
    <x v="11"/>
    <x v="4"/>
    <n v="4734137.0602409644"/>
    <n v="2367068.5301204822"/>
    <n v="0"/>
    <n v="-495353.060240964"/>
  </r>
  <r>
    <n v="58"/>
    <n v="6"/>
    <x v="5"/>
    <d v="2022-06-30T00:00:00"/>
    <s v="Лето"/>
    <n v="0.5"/>
    <n v="8"/>
    <n v="16"/>
    <n v="8"/>
    <x v="10"/>
    <x v="2"/>
    <n v="2367068.5301204822"/>
    <n v="1183534.2650602411"/>
    <n v="0"/>
    <n v="-495353.060240964"/>
  </r>
  <r>
    <n v="59"/>
    <n v="7"/>
    <x v="5"/>
    <d v="2022-07-31T00:00:00"/>
    <s v="Лето"/>
    <n v="0.5"/>
    <n v="8"/>
    <n v="16"/>
    <n v="8"/>
    <x v="10"/>
    <x v="2"/>
    <n v="2367068.5301204822"/>
    <n v="1183534.2650602411"/>
    <n v="0"/>
    <n v="-495353.060240964"/>
  </r>
  <r>
    <n v="60"/>
    <n v="8"/>
    <x v="5"/>
    <d v="2022-08-31T00:00:00"/>
    <s v="Лето"/>
    <n v="0.5"/>
    <n v="8"/>
    <n v="16"/>
    <n v="8"/>
    <x v="10"/>
    <x v="2"/>
    <n v="2367068.5301204822"/>
    <n v="1183534.2650602411"/>
    <n v="0"/>
    <n v="-660470.7469879520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1">
  <r>
    <n v="0"/>
    <n v="8"/>
    <x v="0"/>
    <n v="42978"/>
    <s v="Лето"/>
    <n v="0"/>
    <n v="0.5"/>
    <n v="0"/>
    <n v="0"/>
    <n v="2"/>
    <n v="4"/>
    <n v="6"/>
    <n v="8"/>
    <n v="0"/>
    <n v="0"/>
    <n v="0"/>
    <n v="0"/>
    <n v="0"/>
    <n v="0"/>
    <n v="0"/>
  </r>
  <r>
    <n v="1"/>
    <n v="9"/>
    <x v="0"/>
    <n v="43008"/>
    <s v="Осень"/>
    <n v="0"/>
    <n v="0.75"/>
    <n v="0"/>
    <n v="1"/>
    <n v="3"/>
    <n v="5"/>
    <n v="7"/>
    <n v="9"/>
    <n v="0"/>
    <n v="0"/>
    <n v="0"/>
    <n v="0"/>
    <n v="0"/>
    <n v="0"/>
    <n v="0"/>
  </r>
  <r>
    <n v="2"/>
    <n v="10"/>
    <x v="0"/>
    <n v="43039"/>
    <s v="Осень"/>
    <n v="887650.69879518088"/>
    <n v="0.75"/>
    <n v="572.53012048192784"/>
    <n v="2"/>
    <n v="4"/>
    <n v="6"/>
    <n v="8"/>
    <n v="10"/>
    <n v="286.26506024096392"/>
    <n v="171.75903614457835"/>
    <n v="57.253012048192787"/>
    <n v="28.626506024096393"/>
    <n v="28.626506024096393"/>
    <n v="-247676.530120482"/>
    <n v="0"/>
  </r>
  <r>
    <n v="3"/>
    <n v="11"/>
    <x v="0"/>
    <n v="43069"/>
    <s v="Осень"/>
    <n v="887650.69879518088"/>
    <n v="0.75"/>
    <n v="572.53012048192784"/>
    <n v="3"/>
    <n v="5"/>
    <n v="7"/>
    <n v="9"/>
    <n v="11"/>
    <n v="286.26506024096392"/>
    <n v="171.75903614457835"/>
    <n v="57.253012048192787"/>
    <n v="28.626506024096393"/>
    <n v="28.626506024096393"/>
    <n v="-247676.530120482"/>
    <n v="0"/>
  </r>
  <r>
    <n v="4"/>
    <n v="12"/>
    <x v="0"/>
    <n v="43100"/>
    <s v="Зима"/>
    <n v="1183534.2650602411"/>
    <n v="1"/>
    <n v="763.37349397590378"/>
    <n v="4"/>
    <n v="6"/>
    <n v="8"/>
    <n v="10"/>
    <n v="12"/>
    <n v="381.68674698795189"/>
    <n v="229.01204819277112"/>
    <n v="76.337349397590387"/>
    <n v="38.168674698795193"/>
    <n v="38.168674698795193"/>
    <n v="-330235.37349397602"/>
    <n v="0"/>
  </r>
  <r>
    <n v="5"/>
    <n v="1"/>
    <x v="1"/>
    <n v="43131"/>
    <s v="Зима"/>
    <n v="1183534.2650602411"/>
    <n v="1"/>
    <n v="763.37349397590378"/>
    <n v="5"/>
    <n v="7"/>
    <n v="9"/>
    <n v="11"/>
    <n v="13"/>
    <n v="381.68674698795189"/>
    <n v="229.01204819277112"/>
    <n v="76.337349397590387"/>
    <n v="38.168674698795193"/>
    <n v="38.168674698795193"/>
    <n v="-330235.37349397602"/>
    <n v="0"/>
  </r>
  <r>
    <n v="6"/>
    <n v="2"/>
    <x v="1"/>
    <n v="43159"/>
    <s v="Зима"/>
    <n v="1183534.2650602411"/>
    <n v="1"/>
    <n v="763.37349397590378"/>
    <n v="6"/>
    <n v="8"/>
    <n v="10"/>
    <n v="12"/>
    <n v="14"/>
    <n v="381.68674698795189"/>
    <n v="229.01204819277112"/>
    <n v="76.337349397590387"/>
    <n v="38.168674698795193"/>
    <n v="38.168674698795193"/>
    <n v="-330235.37349397602"/>
    <n v="0"/>
  </r>
  <r>
    <n v="7"/>
    <n v="3"/>
    <x v="1"/>
    <n v="43190"/>
    <s v="Весна"/>
    <n v="1183534.2650602411"/>
    <n v="1"/>
    <n v="763.37349397590378"/>
    <n v="7"/>
    <n v="9"/>
    <n v="11"/>
    <n v="13"/>
    <n v="15"/>
    <n v="381.68674698795189"/>
    <n v="229.01204819277112"/>
    <n v="76.337349397590387"/>
    <n v="38.168674698795193"/>
    <n v="38.168674698795193"/>
    <n v="-330235.37349397602"/>
    <n v="0"/>
  </r>
  <r>
    <n v="8"/>
    <n v="4"/>
    <x v="1"/>
    <n v="43220"/>
    <s v="Весна"/>
    <n v="1775301.3975903618"/>
    <n v="1"/>
    <n v="1145.0602409638557"/>
    <n v="8"/>
    <n v="10"/>
    <n v="12"/>
    <n v="14"/>
    <n v="16"/>
    <n v="572.53012048192784"/>
    <n v="343.51807228915669"/>
    <n v="114.50602409638557"/>
    <n v="57.253012048192787"/>
    <n v="57.253012048192787"/>
    <n v="-495353.060240964"/>
    <n v="0"/>
  </r>
  <r>
    <n v="9"/>
    <n v="5"/>
    <x v="1"/>
    <n v="43251"/>
    <s v="Весна"/>
    <n v="1775301.3975903618"/>
    <n v="1"/>
    <n v="1145.0602409638557"/>
    <n v="9"/>
    <n v="11"/>
    <n v="13"/>
    <n v="15"/>
    <n v="17"/>
    <n v="572.53012048192784"/>
    <n v="343.51807228915669"/>
    <n v="114.50602409638557"/>
    <n v="57.253012048192787"/>
    <n v="57.253012048192787"/>
    <n v="-495353.060240964"/>
    <n v="0"/>
  </r>
  <r>
    <n v="10"/>
    <n v="6"/>
    <x v="1"/>
    <n v="43281"/>
    <s v="Лето"/>
    <n v="887650.69879518088"/>
    <n v="0.5"/>
    <n v="572.53012048192784"/>
    <n v="10"/>
    <n v="12"/>
    <n v="14"/>
    <n v="16"/>
    <n v="18"/>
    <n v="286.26506024096392"/>
    <n v="171.75903614457835"/>
    <n v="57.253012048192787"/>
    <n v="28.626506024096393"/>
    <n v="28.626506024096393"/>
    <n v="-247676.530120482"/>
    <n v="-61919.1325301205"/>
  </r>
  <r>
    <n v="11"/>
    <n v="7"/>
    <x v="1"/>
    <n v="43312"/>
    <s v="Лето"/>
    <n v="887650.69879518088"/>
    <n v="0.5"/>
    <n v="572.53012048192784"/>
    <n v="11"/>
    <n v="13"/>
    <n v="15"/>
    <n v="17"/>
    <n v="19"/>
    <n v="286.26506024096392"/>
    <n v="171.75903614457835"/>
    <n v="57.253012048192787"/>
    <n v="28.626506024096393"/>
    <n v="28.626506024096393"/>
    <n v="-247676.530120482"/>
    <n v="-61919.1325301205"/>
  </r>
  <r>
    <n v="12"/>
    <n v="8"/>
    <x v="1"/>
    <n v="43343"/>
    <s v="Лето"/>
    <n v="1183534.2650602411"/>
    <n v="0.5"/>
    <n v="763.37349397590378"/>
    <n v="12"/>
    <n v="14"/>
    <n v="16"/>
    <n v="18"/>
    <n v="20"/>
    <n v="381.68674698795189"/>
    <n v="229.01204819277112"/>
    <n v="76.337349397590387"/>
    <n v="38.168674698795193"/>
    <n v="38.168674698795193"/>
    <n v="-330235.37349397602"/>
    <n v="-82558.843373494004"/>
  </r>
  <r>
    <n v="13"/>
    <n v="9"/>
    <x v="1"/>
    <n v="43373"/>
    <s v="Осень"/>
    <n v="3550602.7951807235"/>
    <n v="0.75"/>
    <n v="2290.1204819277114"/>
    <n v="13"/>
    <n v="15"/>
    <n v="17"/>
    <n v="19"/>
    <n v="21"/>
    <n v="1145.0602409638557"/>
    <n v="687.03614457831338"/>
    <n v="229.01204819277115"/>
    <n v="114.50602409638557"/>
    <n v="114.50602409638557"/>
    <n v="-990706.120481928"/>
    <n v="-82558.843373494004"/>
  </r>
  <r>
    <n v="14"/>
    <n v="10"/>
    <x v="1"/>
    <n v="43404"/>
    <s v="Осень"/>
    <n v="4438253.4939759048"/>
    <n v="0.75"/>
    <n v="2862.6506024096393"/>
    <n v="14"/>
    <n v="16"/>
    <n v="18"/>
    <n v="20"/>
    <n v="22"/>
    <n v="1431.3253012048197"/>
    <n v="858.79518072289181"/>
    <n v="286.26506024096392"/>
    <n v="143.13253012048196"/>
    <n v="143.13253012048196"/>
    <n v="-1238382.6506024098"/>
    <n v="-82558.843373494004"/>
  </r>
  <r>
    <n v="15"/>
    <n v="11"/>
    <x v="1"/>
    <n v="43434"/>
    <s v="Осень"/>
    <n v="4438253.4939759048"/>
    <n v="0.75"/>
    <n v="2862.6506024096393"/>
    <n v="15"/>
    <n v="17"/>
    <n v="19"/>
    <n v="21"/>
    <n v="23"/>
    <n v="1431.3253012048197"/>
    <n v="858.79518072289181"/>
    <n v="286.26506024096392"/>
    <n v="143.13253012048196"/>
    <n v="143.13253012048196"/>
    <n v="-1238382.6506024098"/>
    <n v="-82558.843373494004"/>
  </r>
  <r>
    <n v="16"/>
    <n v="12"/>
    <x v="1"/>
    <n v="43465"/>
    <s v="Зима"/>
    <n v="5917671.3253012057"/>
    <n v="1"/>
    <n v="3816.8674698795189"/>
    <n v="16"/>
    <n v="18"/>
    <n v="20"/>
    <n v="22"/>
    <n v="24"/>
    <n v="1908.4337349397595"/>
    <n v="1145.0602409638557"/>
    <n v="381.68674698795189"/>
    <n v="190.84337349397595"/>
    <n v="190.84337349397595"/>
    <n v="-1651176.8674698798"/>
    <n v="-123838.265060241"/>
  </r>
  <r>
    <n v="17"/>
    <n v="1"/>
    <x v="2"/>
    <n v="43496"/>
    <s v="Зима"/>
    <n v="5917671.3253012057"/>
    <n v="1"/>
    <n v="3816.8674698795189"/>
    <n v="17"/>
    <n v="19"/>
    <n v="21"/>
    <n v="23"/>
    <n v="25"/>
    <n v="1908.4337349397595"/>
    <n v="1145.0602409638557"/>
    <n v="381.68674698795189"/>
    <n v="190.84337349397595"/>
    <n v="190.84337349397595"/>
    <n v="-1651176.8674698798"/>
    <n v="-123838.265060241"/>
  </r>
  <r>
    <n v="18"/>
    <n v="2"/>
    <x v="2"/>
    <n v="43524"/>
    <s v="Зима"/>
    <n v="5917671.3253012057"/>
    <n v="1"/>
    <n v="3816.8674698795189"/>
    <n v="18"/>
    <n v="20"/>
    <n v="22"/>
    <n v="24"/>
    <n v="26"/>
    <n v="1908.4337349397595"/>
    <n v="1145.0602409638557"/>
    <n v="381.68674698795189"/>
    <n v="190.84337349397595"/>
    <n v="190.84337349397595"/>
    <n v="-1651176.8674698798"/>
    <n v="-61919.1325301205"/>
  </r>
  <r>
    <n v="19"/>
    <n v="3"/>
    <x v="2"/>
    <n v="43555"/>
    <s v="Весна"/>
    <n v="7101205.5903614471"/>
    <n v="1"/>
    <n v="4580.2409638554227"/>
    <n v="19"/>
    <n v="21"/>
    <n v="23"/>
    <n v="25"/>
    <n v="27"/>
    <n v="2290.1204819277114"/>
    <n v="1374.0722891566268"/>
    <n v="458.02409638554229"/>
    <n v="229.01204819277115"/>
    <n v="229.01204819277115"/>
    <n v="-1981412.240963856"/>
    <n v="-61919.1325301205"/>
  </r>
  <r>
    <n v="20"/>
    <n v="4"/>
    <x v="2"/>
    <n v="43585"/>
    <s v="Весна"/>
    <n v="7692972.7228915673"/>
    <n v="1"/>
    <n v="4961.9277108433744"/>
    <n v="20"/>
    <n v="22"/>
    <n v="24"/>
    <n v="26"/>
    <n v="28"/>
    <n v="2480.9638554216872"/>
    <n v="1488.5783132530123"/>
    <n v="496.19277108433744"/>
    <n v="248.09638554216872"/>
    <n v="248.09638554216872"/>
    <n v="-2146529.9277108437"/>
    <n v="-82558.843373494004"/>
  </r>
  <r>
    <n v="21"/>
    <n v="5"/>
    <x v="2"/>
    <n v="43616"/>
    <s v="Весна"/>
    <n v="7692972.7228915673"/>
    <n v="1"/>
    <n v="4961.9277108433744"/>
    <n v="21"/>
    <n v="23"/>
    <n v="25"/>
    <n v="27"/>
    <n v="29"/>
    <n v="2480.9638554216872"/>
    <n v="1488.5783132530123"/>
    <n v="496.19277108433744"/>
    <n v="248.09638554216872"/>
    <n v="248.09638554216872"/>
    <n v="-2146529.9277108437"/>
    <n v="-247676.530120482"/>
  </r>
  <r>
    <n v="22"/>
    <n v="6"/>
    <x v="2"/>
    <n v="43646"/>
    <s v="Лето"/>
    <n v="3846486.3614457836"/>
    <n v="0.5"/>
    <n v="2480.9638554216872"/>
    <n v="22"/>
    <n v="24"/>
    <n v="26"/>
    <n v="28"/>
    <n v="30"/>
    <n v="1240.4819277108436"/>
    <n v="744.28915662650616"/>
    <n v="248.09638554216872"/>
    <n v="124.04819277108436"/>
    <n v="124.04819277108436"/>
    <n v="-1073264.9638554219"/>
    <n v="-309595.66265060246"/>
  </r>
  <r>
    <n v="23"/>
    <n v="7"/>
    <x v="2"/>
    <n v="43677"/>
    <s v="Лето"/>
    <n v="3846486.3614457836"/>
    <n v="0.5"/>
    <n v="2480.9638554216872"/>
    <n v="23"/>
    <n v="25"/>
    <n v="27"/>
    <n v="29"/>
    <n v="31"/>
    <n v="1240.4819277108436"/>
    <n v="744.28915662650616"/>
    <n v="248.09638554216872"/>
    <n v="124.04819277108436"/>
    <n v="124.04819277108436"/>
    <n v="-1073264.9638554219"/>
    <n v="-309595.66265060246"/>
  </r>
  <r>
    <n v="24"/>
    <n v="8"/>
    <x v="2"/>
    <n v="43708"/>
    <s v="Лето"/>
    <n v="4734137.0602409644"/>
    <n v="0.5"/>
    <n v="3053.4939759036151"/>
    <n v="24"/>
    <n v="26"/>
    <n v="28"/>
    <n v="30"/>
    <n v="32"/>
    <n v="1526.7469879518076"/>
    <n v="916.04819277108447"/>
    <n v="305.34939759036155"/>
    <n v="152.67469879518077"/>
    <n v="152.67469879518077"/>
    <n v="-1320941.4939759041"/>
    <n v="-412794.21686746995"/>
  </r>
  <r>
    <n v="25"/>
    <n v="9"/>
    <x v="2"/>
    <n v="43738"/>
    <s v="Осень"/>
    <n v="7101205.5903614471"/>
    <n v="0.75"/>
    <n v="4580.2409638554227"/>
    <n v="25"/>
    <n v="27"/>
    <n v="29"/>
    <n v="31"/>
    <n v="33"/>
    <n v="2290.1204819277114"/>
    <n v="1374.0722891566268"/>
    <n v="458.02409638554229"/>
    <n v="229.01204819277115"/>
    <n v="229.01204819277115"/>
    <n v="-1981412.240963856"/>
    <n v="-412794.21686746995"/>
  </r>
  <r>
    <n v="26"/>
    <n v="10"/>
    <x v="2"/>
    <n v="43769"/>
    <s v="Осень"/>
    <n v="7101205.5903614471"/>
    <n v="0.75"/>
    <n v="4580.2409638554227"/>
    <n v="26"/>
    <n v="28"/>
    <n v="30"/>
    <n v="32"/>
    <n v="34"/>
    <n v="2290.1204819277114"/>
    <n v="1374.0722891566268"/>
    <n v="458.02409638554229"/>
    <n v="229.01204819277115"/>
    <n v="229.01204819277115"/>
    <n v="-1981412.240963856"/>
    <n v="-412794.21686746995"/>
  </r>
  <r>
    <n v="27"/>
    <n v="11"/>
    <x v="2"/>
    <n v="43799"/>
    <s v="Осень"/>
    <n v="7101205.5903614471"/>
    <n v="0.75"/>
    <n v="4580.2409638554227"/>
    <n v="27"/>
    <n v="29"/>
    <n v="31"/>
    <n v="33"/>
    <n v="35"/>
    <n v="2290.1204819277114"/>
    <n v="1374.0722891566268"/>
    <n v="458.02409638554229"/>
    <n v="229.01204819277115"/>
    <n v="229.01204819277115"/>
    <n v="-1981412.240963856"/>
    <n v="-495353.060240964"/>
  </r>
  <r>
    <n v="28"/>
    <n v="12"/>
    <x v="2"/>
    <n v="43830"/>
    <s v="Зима"/>
    <n v="9468274.1204819288"/>
    <n v="1"/>
    <n v="6106.9879518072303"/>
    <n v="28"/>
    <n v="30"/>
    <n v="32"/>
    <n v="34"/>
    <n v="36"/>
    <n v="3053.4939759036151"/>
    <n v="1832.0963855421689"/>
    <n v="610.6987951807231"/>
    <n v="305.34939759036155"/>
    <n v="305.34939759036155"/>
    <n v="-2641882.9879518081"/>
    <n v="-536632.48192771093"/>
  </r>
  <r>
    <n v="29"/>
    <n v="1"/>
    <x v="3"/>
    <n v="43861"/>
    <s v="Зима"/>
    <n v="9468274.1204819288"/>
    <n v="1"/>
    <n v="6106.9879518072303"/>
    <n v="29"/>
    <n v="31"/>
    <n v="33"/>
    <n v="35"/>
    <n v="37"/>
    <n v="3053.4939759036151"/>
    <n v="1832.0963855421689"/>
    <n v="610.6987951807231"/>
    <n v="305.34939759036155"/>
    <n v="305.34939759036155"/>
    <n v="-2641882.9879518081"/>
    <n v="-536632.48192771093"/>
  </r>
  <r>
    <n v="30"/>
    <n v="2"/>
    <x v="3"/>
    <n v="43890"/>
    <s v="Зима"/>
    <n v="9468274.1204819288"/>
    <n v="1"/>
    <n v="6106.9879518072303"/>
    <n v="30"/>
    <n v="32"/>
    <n v="34"/>
    <n v="36"/>
    <n v="38"/>
    <n v="3053.4939759036151"/>
    <n v="1832.0963855421689"/>
    <n v="610.6987951807231"/>
    <n v="305.34939759036155"/>
    <n v="305.34939759036155"/>
    <n v="-2641882.9879518081"/>
    <n v="-268316.24096385547"/>
  </r>
  <r>
    <n v="31"/>
    <n v="3"/>
    <x v="3"/>
    <n v="43921"/>
    <s v="Весна"/>
    <n v="9468274.1204819288"/>
    <n v="1"/>
    <n v="6106.9879518072303"/>
    <n v="31"/>
    <n v="33"/>
    <n v="35"/>
    <n v="37"/>
    <n v="39"/>
    <n v="3053.4939759036151"/>
    <n v="1832.0963855421689"/>
    <n v="610.6987951807231"/>
    <n v="305.34939759036155"/>
    <n v="305.34939759036155"/>
    <n v="-2641882.9879518081"/>
    <n v="-268316.24096385547"/>
  </r>
  <r>
    <n v="32"/>
    <n v="4"/>
    <x v="3"/>
    <n v="43951"/>
    <s v="Весна"/>
    <n v="9468274.1204819288"/>
    <n v="1"/>
    <n v="6106.9879518072303"/>
    <n v="32"/>
    <n v="34"/>
    <n v="36"/>
    <n v="38"/>
    <n v="40"/>
    <n v="3053.4939759036151"/>
    <n v="1832.0963855421689"/>
    <n v="610.6987951807231"/>
    <n v="305.34939759036155"/>
    <n v="305.34939759036155"/>
    <n v="-2641882.9879518081"/>
    <n v="-330235.37349397602"/>
  </r>
  <r>
    <n v="33"/>
    <n v="5"/>
    <x v="3"/>
    <n v="43982"/>
    <s v="Весна"/>
    <n v="9468274.1204819288"/>
    <n v="1"/>
    <n v="6106.9879518072303"/>
    <n v="33"/>
    <n v="35"/>
    <n v="37"/>
    <n v="39"/>
    <n v="41"/>
    <n v="3053.4939759036151"/>
    <n v="1832.0963855421689"/>
    <n v="610.6987951807231"/>
    <n v="305.34939759036155"/>
    <n v="305.34939759036155"/>
    <n v="-2641882.9879518081"/>
    <n v="-495353.060240964"/>
  </r>
  <r>
    <n v="34"/>
    <n v="6"/>
    <x v="3"/>
    <n v="44012"/>
    <s v="Лето"/>
    <n v="4734137.0602409644"/>
    <n v="0.5"/>
    <n v="3053.4939759036151"/>
    <n v="34"/>
    <n v="36"/>
    <n v="38"/>
    <n v="40"/>
    <n v="42"/>
    <n v="1526.7469879518076"/>
    <n v="916.04819277108447"/>
    <n v="305.34939759036155"/>
    <n v="152.67469879518077"/>
    <n v="152.67469879518077"/>
    <n v="-1320941.4939759041"/>
    <n v="-495353.060240964"/>
  </r>
  <r>
    <n v="35"/>
    <n v="7"/>
    <x v="3"/>
    <n v="44043"/>
    <s v="Лето"/>
    <n v="4734137.0602409644"/>
    <n v="0.5"/>
    <n v="3053.4939759036151"/>
    <n v="35"/>
    <n v="37"/>
    <n v="39"/>
    <n v="41"/>
    <n v="43"/>
    <n v="1526.7469879518076"/>
    <n v="916.04819277108447"/>
    <n v="305.34939759036155"/>
    <n v="152.67469879518077"/>
    <n v="152.67469879518077"/>
    <n v="-1320941.4939759041"/>
    <n v="-495353.060240964"/>
  </r>
  <r>
    <n v="36"/>
    <n v="8"/>
    <x v="3"/>
    <n v="44074"/>
    <s v="Лето"/>
    <n v="4734137.0602409644"/>
    <n v="0.5"/>
    <n v="3053.4939759036151"/>
    <n v="36"/>
    <n v="38"/>
    <n v="40"/>
    <n v="42"/>
    <n v="44"/>
    <n v="1526.7469879518076"/>
    <n v="916.04819277108447"/>
    <n v="305.34939759036155"/>
    <n v="152.67469879518077"/>
    <n v="152.67469879518077"/>
    <n v="-1320941.4939759041"/>
    <n v="-660470.74698795204"/>
  </r>
  <r>
    <n v="37"/>
    <n v="9"/>
    <x v="3"/>
    <n v="44104"/>
    <s v="Осень"/>
    <n v="7101205.5903614471"/>
    <n v="0.75"/>
    <n v="4580.2409638554227"/>
    <n v="37"/>
    <n v="39"/>
    <n v="41"/>
    <n v="43"/>
    <n v="45"/>
    <n v="2290.1204819277114"/>
    <n v="1374.0722891566268"/>
    <n v="458.02409638554229"/>
    <n v="229.01204819277115"/>
    <n v="229.01204819277115"/>
    <n v="-1981412.240963856"/>
    <n v="-660470.74698795204"/>
  </r>
  <r>
    <n v="38"/>
    <n v="10"/>
    <x v="3"/>
    <n v="44135"/>
    <s v="Осень"/>
    <n v="7101205.5903614471"/>
    <n v="0.75"/>
    <n v="4580.2409638554227"/>
    <n v="38"/>
    <n v="40"/>
    <n v="42"/>
    <n v="44"/>
    <n v="46"/>
    <n v="2290.1204819277114"/>
    <n v="1374.0722891566268"/>
    <n v="458.02409638554229"/>
    <n v="229.01204819277115"/>
    <n v="229.01204819277115"/>
    <n v="-1981412.240963856"/>
    <n v="-660470.74698795204"/>
  </r>
  <r>
    <n v="39"/>
    <n v="11"/>
    <x v="3"/>
    <n v="44165"/>
    <s v="Осень"/>
    <n v="7101205.5903614471"/>
    <n v="0.75"/>
    <n v="4580.2409638554227"/>
    <n v="39"/>
    <n v="41"/>
    <n v="43"/>
    <n v="45"/>
    <n v="47"/>
    <n v="2290.1204819277114"/>
    <n v="1374.0722891566268"/>
    <n v="458.02409638554229"/>
    <n v="229.01204819277115"/>
    <n v="229.01204819277115"/>
    <n v="-1981412.240963856"/>
    <n v="-660470.74698795204"/>
  </r>
  <r>
    <n v="40"/>
    <n v="12"/>
    <x v="3"/>
    <n v="44196"/>
    <s v="Зима"/>
    <n v="9468274.1204819288"/>
    <n v="1"/>
    <n v="6106.9879518072303"/>
    <n v="40"/>
    <n v="42"/>
    <n v="44"/>
    <n v="46"/>
    <n v="48"/>
    <n v="3053.4939759036151"/>
    <n v="1832.0963855421689"/>
    <n v="610.6987951807231"/>
    <n v="305.34939759036155"/>
    <n v="305.34939759036155"/>
    <n v="-2641882.9879518081"/>
    <n v="-660470.74698795204"/>
  </r>
  <r>
    <n v="41"/>
    <n v="1"/>
    <x v="4"/>
    <n v="44227"/>
    <s v="Зима"/>
    <n v="9468274.1204819288"/>
    <n v="1"/>
    <n v="6106.9879518072303"/>
    <n v="41"/>
    <n v="43"/>
    <n v="45"/>
    <n v="47"/>
    <n v="49"/>
    <n v="3053.4939759036151"/>
    <n v="1832.0963855421689"/>
    <n v="610.6987951807231"/>
    <n v="305.34939759036155"/>
    <n v="305.34939759036155"/>
    <n v="-2641882.9879518081"/>
    <n v="-660470.74698795204"/>
  </r>
  <r>
    <n v="42"/>
    <n v="2"/>
    <x v="4"/>
    <n v="44255"/>
    <s v="Зима"/>
    <n v="9468274.1204819288"/>
    <n v="1"/>
    <n v="6106.9879518072303"/>
    <n v="42"/>
    <n v="44"/>
    <n v="46"/>
    <n v="48"/>
    <n v="50"/>
    <n v="3053.4939759036151"/>
    <n v="1832.0963855421689"/>
    <n v="610.6987951807231"/>
    <n v="305.34939759036155"/>
    <n v="305.34939759036155"/>
    <n v="-2641882.9879518081"/>
    <n v="-330235.37349397602"/>
  </r>
  <r>
    <n v="43"/>
    <n v="3"/>
    <x v="4"/>
    <n v="44286"/>
    <s v="Весна"/>
    <n v="9468274.1204819288"/>
    <n v="1"/>
    <n v="6106.9879518072303"/>
    <n v="43"/>
    <n v="45"/>
    <n v="47"/>
    <n v="49"/>
    <n v="51"/>
    <n v="3053.4939759036151"/>
    <n v="1832.0963855421689"/>
    <n v="610.6987951807231"/>
    <n v="305.34939759036155"/>
    <n v="305.34939759036155"/>
    <n v="-2641882.9879518081"/>
    <n v="-330235.37349397602"/>
  </r>
  <r>
    <n v="44"/>
    <n v="4"/>
    <x v="4"/>
    <n v="44316"/>
    <s v="Весна"/>
    <n v="9468274.1204819288"/>
    <n v="1"/>
    <n v="6106.9879518072303"/>
    <n v="44"/>
    <n v="46"/>
    <n v="48"/>
    <n v="50"/>
    <n v="52"/>
    <n v="3053.4939759036151"/>
    <n v="1832.0963855421689"/>
    <n v="610.6987951807231"/>
    <n v="305.34939759036155"/>
    <n v="305.34939759036155"/>
    <n v="-2641882.9879518081"/>
    <n v="-330235.37349397602"/>
  </r>
  <r>
    <n v="45"/>
    <n v="5"/>
    <x v="4"/>
    <n v="44347"/>
    <s v="Весна"/>
    <n v="9468274.1204819288"/>
    <n v="1"/>
    <n v="6106.9879518072303"/>
    <n v="45"/>
    <n v="47"/>
    <n v="49"/>
    <n v="51"/>
    <n v="53"/>
    <n v="3053.4939759036151"/>
    <n v="1832.0963855421689"/>
    <n v="610.6987951807231"/>
    <n v="305.34939759036155"/>
    <n v="305.34939759036155"/>
    <n v="-2641882.9879518081"/>
    <n v="-495353.060240964"/>
  </r>
  <r>
    <n v="46"/>
    <n v="6"/>
    <x v="4"/>
    <n v="44377"/>
    <s v="Лето"/>
    <n v="4734137.0602409644"/>
    <n v="0.5"/>
    <n v="3053.4939759036151"/>
    <n v="46"/>
    <n v="48"/>
    <n v="50"/>
    <n v="52"/>
    <n v="54"/>
    <n v="1526.7469879518076"/>
    <n v="916.04819277108447"/>
    <n v="305.34939759036155"/>
    <n v="152.67469879518077"/>
    <n v="152.67469879518077"/>
    <n v="-1320941.4939759041"/>
    <n v="-495353.060240964"/>
  </r>
  <r>
    <n v="47"/>
    <n v="7"/>
    <x v="4"/>
    <n v="44408"/>
    <s v="Лето"/>
    <n v="4734137.0602409644"/>
    <n v="0.5"/>
    <n v="3053.4939759036151"/>
    <n v="47"/>
    <n v="49"/>
    <n v="51"/>
    <n v="53"/>
    <n v="55"/>
    <n v="1526.7469879518076"/>
    <n v="916.04819277108447"/>
    <n v="305.34939759036155"/>
    <n v="152.67469879518077"/>
    <n v="152.67469879518077"/>
    <n v="-1320941.4939759041"/>
    <n v="-495353.060240964"/>
  </r>
  <r>
    <n v="48"/>
    <n v="8"/>
    <x v="4"/>
    <n v="44439"/>
    <s v="Лето"/>
    <n v="4734137.0602409644"/>
    <n v="0.5"/>
    <n v="3053.4939759036151"/>
    <n v="48"/>
    <n v="50"/>
    <n v="52"/>
    <n v="54"/>
    <n v="56"/>
    <n v="1526.7469879518076"/>
    <n v="916.04819277108447"/>
    <n v="305.34939759036155"/>
    <n v="152.67469879518077"/>
    <n v="152.67469879518077"/>
    <n v="-1320941.4939759041"/>
    <n v="-660470.74698795204"/>
  </r>
  <r>
    <n v="49"/>
    <n v="9"/>
    <x v="4"/>
    <n v="44469"/>
    <s v="Осень"/>
    <n v="7101205.5903614471"/>
    <n v="0.75"/>
    <n v="4580.2409638554227"/>
    <n v="49"/>
    <n v="51"/>
    <n v="53"/>
    <n v="55"/>
    <n v="57"/>
    <n v="2290.1204819277114"/>
    <n v="1374.0722891566268"/>
    <n v="458.02409638554229"/>
    <n v="229.01204819277115"/>
    <n v="229.01204819277115"/>
    <n v="-1981412.240963856"/>
    <n v="-660470.74698795204"/>
  </r>
  <r>
    <n v="50"/>
    <n v="10"/>
    <x v="4"/>
    <n v="44500"/>
    <s v="Осень"/>
    <n v="7101205.5903614471"/>
    <n v="0.75"/>
    <n v="4580.2409638554227"/>
    <n v="50"/>
    <n v="52"/>
    <n v="54"/>
    <n v="56"/>
    <n v="58"/>
    <n v="2290.1204819277114"/>
    <n v="1374.0722891566268"/>
    <n v="458.02409638554229"/>
    <n v="229.01204819277115"/>
    <n v="229.01204819277115"/>
    <n v="-1981412.240963856"/>
    <n v="-660470.74698795204"/>
  </r>
  <r>
    <n v="51"/>
    <n v="11"/>
    <x v="4"/>
    <n v="44530"/>
    <s v="Осень"/>
    <n v="7101205.5903614471"/>
    <n v="0.75"/>
    <n v="4580.2409638554227"/>
    <n v="51"/>
    <n v="53"/>
    <n v="55"/>
    <n v="57"/>
    <n v="59"/>
    <n v="2290.1204819277114"/>
    <n v="1374.0722891566268"/>
    <n v="458.02409638554229"/>
    <n v="229.01204819277115"/>
    <n v="229.01204819277115"/>
    <n v="-1981412.240963856"/>
    <n v="-660470.74698795204"/>
  </r>
  <r>
    <n v="52"/>
    <n v="12"/>
    <x v="4"/>
    <n v="44561"/>
    <s v="Зима"/>
    <n v="9468274.1204819288"/>
    <n v="1"/>
    <n v="6106.9879518072303"/>
    <n v="52"/>
    <n v="54"/>
    <n v="56"/>
    <n v="58"/>
    <n v="60"/>
    <n v="3053.4939759036151"/>
    <n v="1832.0963855421689"/>
    <n v="610.6987951807231"/>
    <n v="305.34939759036155"/>
    <n v="305.34939759036155"/>
    <n v="-2641882.9879518081"/>
    <n v="-660470.74698795204"/>
  </r>
  <r>
    <n v="53"/>
    <n v="1"/>
    <x v="5"/>
    <n v="44592"/>
    <s v="Зима"/>
    <n v="9468274.1204819288"/>
    <n v="1"/>
    <n v="6106.9879518072303"/>
    <n v="53"/>
    <n v="55"/>
    <n v="57"/>
    <n v="59"/>
    <n v="61"/>
    <n v="3053.4939759036151"/>
    <n v="1832.0963855421689"/>
    <n v="610.6987951807231"/>
    <n v="305.34939759036155"/>
    <n v="305.34939759036155"/>
    <n v="-2641882.9879518081"/>
    <n v="-660470.74698795204"/>
  </r>
  <r>
    <n v="54"/>
    <n v="2"/>
    <x v="5"/>
    <n v="44620"/>
    <s v="Зима"/>
    <n v="9468274.1204819288"/>
    <n v="1"/>
    <n v="6106.9879518072303"/>
    <n v="54"/>
    <n v="56"/>
    <n v="58"/>
    <n v="60"/>
    <n v="62"/>
    <n v="3053.4939759036151"/>
    <n v="1832.0963855421689"/>
    <n v="610.6987951807231"/>
    <n v="305.34939759036155"/>
    <n v="305.34939759036155"/>
    <n v="-2641882.9879518081"/>
    <n v="-330235.37349397602"/>
  </r>
  <r>
    <n v="55"/>
    <n v="3"/>
    <x v="5"/>
    <n v="44651"/>
    <s v="Весна"/>
    <n v="9468274.1204819288"/>
    <n v="1"/>
    <n v="6106.9879518072303"/>
    <n v="55"/>
    <n v="57"/>
    <n v="59"/>
    <n v="61"/>
    <n v="63"/>
    <n v="3053.4939759036151"/>
    <n v="1832.0963855421689"/>
    <n v="610.6987951807231"/>
    <n v="305.34939759036155"/>
    <n v="305.34939759036155"/>
    <n v="-2641882.9879518081"/>
    <n v="-330235.37349397602"/>
  </r>
  <r>
    <n v="56"/>
    <n v="4"/>
    <x v="5"/>
    <n v="44681"/>
    <s v="Весна"/>
    <n v="9468274.1204819288"/>
    <n v="1"/>
    <n v="6106.9879518072303"/>
    <n v="56"/>
    <n v="58"/>
    <n v="60"/>
    <n v="62"/>
    <n v="64"/>
    <n v="3053.4939759036151"/>
    <n v="1832.0963855421689"/>
    <n v="610.6987951807231"/>
    <n v="305.34939759036155"/>
    <n v="305.34939759036155"/>
    <n v="-2641882.9879518081"/>
    <n v="-330235.37349397602"/>
  </r>
  <r>
    <n v="57"/>
    <n v="5"/>
    <x v="5"/>
    <n v="44712"/>
    <s v="Весна"/>
    <n v="9468274.1204819288"/>
    <n v="1"/>
    <n v="6106.9879518072303"/>
    <n v="57"/>
    <n v="59"/>
    <n v="61"/>
    <n v="63"/>
    <n v="65"/>
    <n v="3053.4939759036151"/>
    <n v="1832.0963855421689"/>
    <n v="610.6987951807231"/>
    <n v="305.34939759036155"/>
    <n v="305.34939759036155"/>
    <n v="-2641882.9879518081"/>
    <n v="-495353.060240964"/>
  </r>
  <r>
    <n v="58"/>
    <n v="6"/>
    <x v="5"/>
    <n v="44742"/>
    <s v="Лето"/>
    <n v="4734137.0602409644"/>
    <n v="0.5"/>
    <n v="3053.4939759036151"/>
    <n v="58"/>
    <n v="60"/>
    <n v="62"/>
    <n v="64"/>
    <n v="66"/>
    <n v="1526.7469879518076"/>
    <n v="916.04819277108447"/>
    <n v="305.34939759036155"/>
    <n v="152.67469879518077"/>
    <n v="152.67469879518077"/>
    <n v="-1320941.4939759041"/>
    <n v="-495353.060240964"/>
  </r>
  <r>
    <n v="59"/>
    <n v="7"/>
    <x v="5"/>
    <n v="44773"/>
    <s v="Лето"/>
    <n v="4734137.0602409644"/>
    <n v="0.5"/>
    <n v="3053.4939759036151"/>
    <n v="59"/>
    <n v="61"/>
    <n v="63"/>
    <n v="65"/>
    <n v="67"/>
    <n v="1526.7469879518076"/>
    <n v="916.04819277108447"/>
    <n v="305.34939759036155"/>
    <n v="152.67469879518077"/>
    <n v="152.67469879518077"/>
    <n v="-1320941.4939759041"/>
    <n v="-495353.060240964"/>
  </r>
  <r>
    <n v="60"/>
    <n v="8"/>
    <x v="5"/>
    <n v="44804"/>
    <s v="Лето"/>
    <n v="4734137.0602409644"/>
    <n v="0.5"/>
    <n v="3053.4939759036151"/>
    <n v="60"/>
    <n v="62"/>
    <n v="64"/>
    <n v="66"/>
    <n v="68"/>
    <n v="1526.7469879518076"/>
    <n v="916.04819277108447"/>
    <n v="305.34939759036155"/>
    <n v="152.67469879518077"/>
    <n v="152.67469879518077"/>
    <n v="-1320941.4939759041"/>
    <n v="-660470.7469879520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n v="2"/>
    <x v="0"/>
    <d v="2018-02-28T00:00:00"/>
    <x v="0"/>
    <x v="0"/>
    <x v="0"/>
    <x v="0"/>
  </r>
  <r>
    <n v="3"/>
    <x v="0"/>
    <d v="2018-03-31T00:00:00"/>
    <x v="1"/>
    <x v="1"/>
    <x v="1"/>
    <x v="1"/>
  </r>
  <r>
    <n v="4"/>
    <x v="0"/>
    <d v="2018-04-30T00:00:00"/>
    <x v="1"/>
    <x v="1"/>
    <x v="1"/>
    <x v="1"/>
  </r>
  <r>
    <n v="5"/>
    <x v="0"/>
    <d v="2018-05-31T00:00:00"/>
    <x v="1"/>
    <x v="1"/>
    <x v="1"/>
    <x v="1"/>
  </r>
  <r>
    <n v="6"/>
    <x v="0"/>
    <d v="2018-06-30T00:00:00"/>
    <x v="1"/>
    <x v="1"/>
    <x v="1"/>
    <x v="1"/>
  </r>
  <r>
    <n v="7"/>
    <x v="0"/>
    <d v="2018-07-31T00:00:00"/>
    <x v="1"/>
    <x v="1"/>
    <x v="1"/>
    <x v="1"/>
  </r>
  <r>
    <n v="8"/>
    <x v="0"/>
    <d v="2018-08-31T00:00:00"/>
    <x v="1"/>
    <x v="1"/>
    <x v="1"/>
    <x v="1"/>
  </r>
  <r>
    <n v="9"/>
    <x v="0"/>
    <d v="2018-09-30T00:00:00"/>
    <x v="1"/>
    <x v="1"/>
    <x v="1"/>
    <x v="1"/>
  </r>
  <r>
    <n v="10"/>
    <x v="0"/>
    <d v="2018-10-31T00:00:00"/>
    <x v="1"/>
    <x v="1"/>
    <x v="1"/>
    <x v="1"/>
  </r>
  <r>
    <n v="11"/>
    <x v="0"/>
    <d v="2018-11-30T00:00:00"/>
    <x v="1"/>
    <x v="1"/>
    <x v="1"/>
    <x v="1"/>
  </r>
  <r>
    <n v="12"/>
    <x v="0"/>
    <d v="2018-12-31T00:00:00"/>
    <x v="1"/>
    <x v="1"/>
    <x v="1"/>
    <x v="1"/>
  </r>
  <r>
    <n v="1"/>
    <x v="1"/>
    <d v="2019-01-31T00:00:00"/>
    <x v="1"/>
    <x v="1"/>
    <x v="1"/>
    <x v="1"/>
  </r>
  <r>
    <n v="2"/>
    <x v="1"/>
    <d v="2019-02-28T00:00:00"/>
    <x v="1"/>
    <x v="1"/>
    <x v="1"/>
    <x v="1"/>
  </r>
  <r>
    <n v="3"/>
    <x v="1"/>
    <d v="2019-03-31T00:00:00"/>
    <x v="1"/>
    <x v="1"/>
    <x v="1"/>
    <x v="1"/>
  </r>
  <r>
    <n v="4"/>
    <x v="1"/>
    <d v="2019-04-30T00:00:00"/>
    <x v="1"/>
    <x v="1"/>
    <x v="1"/>
    <x v="1"/>
  </r>
  <r>
    <n v="5"/>
    <x v="1"/>
    <d v="2019-05-31T00:00:00"/>
    <x v="1"/>
    <x v="1"/>
    <x v="1"/>
    <x v="1"/>
  </r>
  <r>
    <n v="6"/>
    <x v="1"/>
    <d v="2019-06-30T00:00:00"/>
    <x v="1"/>
    <x v="1"/>
    <x v="1"/>
    <x v="1"/>
  </r>
  <r>
    <n v="7"/>
    <x v="1"/>
    <d v="2019-07-31T00:00:00"/>
    <x v="1"/>
    <x v="1"/>
    <x v="1"/>
    <x v="1"/>
  </r>
  <r>
    <n v="8"/>
    <x v="1"/>
    <d v="2019-08-31T00:00:00"/>
    <x v="1"/>
    <x v="1"/>
    <x v="1"/>
    <x v="1"/>
  </r>
  <r>
    <n v="9"/>
    <x v="1"/>
    <d v="2019-09-30T00:00:00"/>
    <x v="1"/>
    <x v="1"/>
    <x v="1"/>
    <x v="1"/>
  </r>
  <r>
    <n v="10"/>
    <x v="1"/>
    <d v="2019-10-31T00:00:00"/>
    <x v="1"/>
    <x v="1"/>
    <x v="1"/>
    <x v="1"/>
  </r>
  <r>
    <n v="11"/>
    <x v="1"/>
    <d v="2019-11-30T00:00:00"/>
    <x v="1"/>
    <x v="1"/>
    <x v="1"/>
    <x v="1"/>
  </r>
  <r>
    <n v="12"/>
    <x v="1"/>
    <d v="2019-12-31T00:00:00"/>
    <x v="1"/>
    <x v="1"/>
    <x v="1"/>
    <x v="1"/>
  </r>
  <r>
    <n v="1"/>
    <x v="2"/>
    <d v="2020-01-31T00:00:00"/>
    <x v="1"/>
    <x v="1"/>
    <x v="1"/>
    <x v="1"/>
  </r>
  <r>
    <n v="2"/>
    <x v="2"/>
    <d v="2020-02-29T00:00:00"/>
    <x v="1"/>
    <x v="1"/>
    <x v="1"/>
    <x v="1"/>
  </r>
  <r>
    <n v="3"/>
    <x v="2"/>
    <d v="2020-03-31T00:00:00"/>
    <x v="1"/>
    <x v="1"/>
    <x v="1"/>
    <x v="1"/>
  </r>
  <r>
    <n v="4"/>
    <x v="2"/>
    <d v="2020-04-30T00:00:00"/>
    <x v="1"/>
    <x v="1"/>
    <x v="1"/>
    <x v="1"/>
  </r>
  <r>
    <n v="5"/>
    <x v="2"/>
    <d v="2020-05-31T00:00:00"/>
    <x v="1"/>
    <x v="1"/>
    <x v="1"/>
    <x v="1"/>
  </r>
  <r>
    <n v="6"/>
    <x v="2"/>
    <d v="2020-06-30T00:00:00"/>
    <x v="1"/>
    <x v="1"/>
    <x v="1"/>
    <x v="1"/>
  </r>
  <r>
    <n v="7"/>
    <x v="2"/>
    <d v="2020-07-31T00:00:00"/>
    <x v="1"/>
    <x v="1"/>
    <x v="1"/>
    <x v="1"/>
  </r>
  <r>
    <n v="8"/>
    <x v="2"/>
    <d v="2020-08-31T00:00:00"/>
    <x v="1"/>
    <x v="1"/>
    <x v="1"/>
    <x v="1"/>
  </r>
  <r>
    <n v="9"/>
    <x v="2"/>
    <d v="2020-09-30T00:00:00"/>
    <x v="1"/>
    <x v="1"/>
    <x v="1"/>
    <x v="1"/>
  </r>
  <r>
    <n v="10"/>
    <x v="2"/>
    <d v="2020-10-31T00:00:00"/>
    <x v="1"/>
    <x v="1"/>
    <x v="1"/>
    <x v="1"/>
  </r>
  <r>
    <n v="11"/>
    <x v="2"/>
    <d v="2020-11-30T00:00:00"/>
    <x v="1"/>
    <x v="1"/>
    <x v="1"/>
    <x v="1"/>
  </r>
  <r>
    <n v="12"/>
    <x v="2"/>
    <d v="2020-12-31T00:00:00"/>
    <x v="1"/>
    <x v="1"/>
    <x v="1"/>
    <x v="1"/>
  </r>
  <r>
    <n v="1"/>
    <x v="3"/>
    <d v="2021-01-31T00:00:00"/>
    <x v="1"/>
    <x v="1"/>
    <x v="1"/>
    <x v="1"/>
  </r>
  <r>
    <n v="2"/>
    <x v="3"/>
    <d v="2021-02-28T00:00:00"/>
    <x v="1"/>
    <x v="1"/>
    <x v="1"/>
    <x v="1"/>
  </r>
  <r>
    <n v="3"/>
    <x v="3"/>
    <d v="2021-03-31T00:00:00"/>
    <x v="1"/>
    <x v="1"/>
    <x v="1"/>
    <x v="1"/>
  </r>
  <r>
    <n v="4"/>
    <x v="3"/>
    <d v="2021-04-30T00:00:00"/>
    <x v="1"/>
    <x v="1"/>
    <x v="1"/>
    <x v="1"/>
  </r>
  <r>
    <n v="5"/>
    <x v="3"/>
    <d v="2021-05-31T00:00:00"/>
    <x v="1"/>
    <x v="1"/>
    <x v="1"/>
    <x v="1"/>
  </r>
  <r>
    <n v="6"/>
    <x v="3"/>
    <d v="2021-06-30T00:00:00"/>
    <x v="1"/>
    <x v="1"/>
    <x v="1"/>
    <x v="1"/>
  </r>
  <r>
    <n v="7"/>
    <x v="3"/>
    <d v="2021-07-31T00:00:00"/>
    <x v="1"/>
    <x v="1"/>
    <x v="1"/>
    <x v="1"/>
  </r>
  <r>
    <n v="8"/>
    <x v="3"/>
    <d v="2021-08-31T00:00:00"/>
    <x v="1"/>
    <x v="1"/>
    <x v="1"/>
    <x v="1"/>
  </r>
  <r>
    <n v="9"/>
    <x v="3"/>
    <d v="2021-09-30T00:00:00"/>
    <x v="1"/>
    <x v="1"/>
    <x v="1"/>
    <x v="1"/>
  </r>
  <r>
    <n v="10"/>
    <x v="3"/>
    <d v="2021-10-31T00:00:00"/>
    <x v="1"/>
    <x v="1"/>
    <x v="1"/>
    <x v="1"/>
  </r>
  <r>
    <n v="11"/>
    <x v="3"/>
    <d v="2021-11-30T00:00:00"/>
    <x v="1"/>
    <x v="1"/>
    <x v="1"/>
    <x v="1"/>
  </r>
  <r>
    <n v="12"/>
    <x v="3"/>
    <d v="2021-12-31T00:00:00"/>
    <x v="1"/>
    <x v="1"/>
    <x v="1"/>
    <x v="1"/>
  </r>
  <r>
    <n v="1"/>
    <x v="4"/>
    <d v="2022-01-31T00:00:00"/>
    <x v="1"/>
    <x v="1"/>
    <x v="1"/>
    <x v="1"/>
  </r>
  <r>
    <n v="2"/>
    <x v="4"/>
    <d v="2022-02-28T00:00:00"/>
    <x v="1"/>
    <x v="1"/>
    <x v="1"/>
    <x v="1"/>
  </r>
  <r>
    <n v="3"/>
    <x v="4"/>
    <d v="2022-03-31T00:00:00"/>
    <x v="1"/>
    <x v="1"/>
    <x v="1"/>
    <x v="1"/>
  </r>
  <r>
    <n v="4"/>
    <x v="4"/>
    <d v="2022-04-30T00:00:00"/>
    <x v="1"/>
    <x v="1"/>
    <x v="1"/>
    <x v="1"/>
  </r>
  <r>
    <n v="5"/>
    <x v="4"/>
    <d v="2022-05-31T00:00:00"/>
    <x v="1"/>
    <x v="1"/>
    <x v="1"/>
    <x v="1"/>
  </r>
  <r>
    <n v="6"/>
    <x v="4"/>
    <d v="2022-06-30T00:00:00"/>
    <x v="1"/>
    <x v="1"/>
    <x v="1"/>
    <x v="1"/>
  </r>
  <r>
    <n v="7"/>
    <x v="4"/>
    <d v="2022-07-31T00:00:00"/>
    <x v="1"/>
    <x v="1"/>
    <x v="1"/>
    <x v="1"/>
  </r>
  <r>
    <n v="8"/>
    <x v="4"/>
    <d v="2022-08-31T00:00:00"/>
    <x v="1"/>
    <x v="1"/>
    <x v="1"/>
    <x v="1"/>
  </r>
  <r>
    <n v="9"/>
    <x v="4"/>
    <d v="2022-09-30T00:00:00"/>
    <x v="1"/>
    <x v="1"/>
    <x v="1"/>
    <x v="1"/>
  </r>
  <r>
    <n v="10"/>
    <x v="4"/>
    <d v="2022-10-31T00:00:00"/>
    <x v="1"/>
    <x v="1"/>
    <x v="1"/>
    <x v="1"/>
  </r>
  <r>
    <n v="11"/>
    <x v="4"/>
    <d v="2022-11-30T00:00:00"/>
    <x v="1"/>
    <x v="1"/>
    <x v="1"/>
    <x v="1"/>
  </r>
  <r>
    <n v="12"/>
    <x v="4"/>
    <d v="2022-12-31T00:00:00"/>
    <x v="1"/>
    <x v="1"/>
    <x v="1"/>
    <x v="1"/>
  </r>
  <r>
    <n v="1"/>
    <x v="5"/>
    <d v="2023-01-31T00:00:00"/>
    <x v="1"/>
    <x v="1"/>
    <x v="1"/>
    <x v="1"/>
  </r>
  <r>
    <n v="2"/>
    <x v="5"/>
    <d v="2023-02-28T00:00:00"/>
    <x v="1"/>
    <x v="1"/>
    <x v="1"/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n v="0"/>
    <n v="2"/>
    <x v="0"/>
    <d v="2018-02-28T00:00:00"/>
    <s v="Зима"/>
    <n v="1"/>
    <n v="0"/>
    <n v="0"/>
    <n v="0"/>
    <m/>
    <n v="0"/>
    <n v="0"/>
    <n v="0"/>
    <n v="0"/>
  </r>
  <r>
    <n v="1"/>
    <n v="3"/>
    <x v="0"/>
    <d v="2018-03-31T00:00:00"/>
    <s v="Весна"/>
    <n v="1"/>
    <n v="0"/>
    <n v="0"/>
    <n v="0"/>
    <n v="23378.358319726878"/>
    <n v="6679.5309484933941"/>
    <n v="16698.827371233485"/>
    <n v="0"/>
    <n v="0"/>
  </r>
  <r>
    <n v="2"/>
    <n v="4"/>
    <x v="0"/>
    <d v="2018-04-30T00:00:00"/>
    <s v="Весна"/>
    <n v="1"/>
    <n v="0"/>
    <n v="0"/>
    <n v="0"/>
    <n v="34387.21488298451"/>
    <n v="6679.5309484933941"/>
    <n v="16698.827371233485"/>
    <n v="5442.5807728464697"/>
    <n v="5566.2757904111622"/>
  </r>
  <r>
    <n v="3"/>
    <n v="5"/>
    <x v="0"/>
    <d v="2018-05-31T00:00:00"/>
    <s v="Весна"/>
    <n v="1"/>
    <n v="0"/>
    <n v="0"/>
    <n v="0"/>
    <n v="34387.21488298451"/>
    <n v="6679.5309484933941"/>
    <n v="16698.827371233485"/>
    <n v="5442.5807728464697"/>
    <n v="5566.2757904111622"/>
  </r>
  <r>
    <n v="4"/>
    <n v="6"/>
    <x v="0"/>
    <d v="2018-06-30T00:00:00"/>
    <s v="Лето"/>
    <n v="1"/>
    <n v="0"/>
    <n v="0"/>
    <n v="0"/>
    <n v="34387.21488298451"/>
    <n v="6679.5309484933941"/>
    <n v="16698.827371233485"/>
    <n v="5442.5807728464697"/>
    <n v="5566.2757904111622"/>
  </r>
  <r>
    <n v="5"/>
    <n v="7"/>
    <x v="0"/>
    <d v="2018-07-31T00:00:00"/>
    <s v="Лето"/>
    <n v="1"/>
    <n v="0"/>
    <n v="0"/>
    <n v="0"/>
    <n v="66733.461976151608"/>
    <n v="8906.0412646578588"/>
    <n v="19481.965266439067"/>
    <n v="27212.90386423235"/>
    <n v="11132.551580822324"/>
  </r>
  <r>
    <n v="6"/>
    <n v="8"/>
    <x v="0"/>
    <d v="2018-08-31T00:00:00"/>
    <s v="Лето"/>
    <n v="1"/>
    <n v="0"/>
    <n v="0"/>
    <n v="0"/>
    <n v="66733.461976151608"/>
    <n v="8906.0412646578588"/>
    <n v="19481.965266439067"/>
    <n v="27212.90386423235"/>
    <n v="11132.551580822324"/>
  </r>
  <r>
    <n v="7"/>
    <n v="9"/>
    <x v="0"/>
    <d v="2018-09-30T00:00:00"/>
    <s v="Осень"/>
    <n v="1"/>
    <n v="0"/>
    <n v="0"/>
    <n v="0"/>
    <n v="66733.461976151608"/>
    <n v="8906.0412646578588"/>
    <n v="19481.965266439067"/>
    <n v="27212.90386423235"/>
    <n v="11132.551580822324"/>
  </r>
  <r>
    <n v="8"/>
    <n v="10"/>
    <x v="0"/>
    <d v="2018-10-31T00:00:00"/>
    <s v="Осень"/>
    <n v="1"/>
    <n v="0"/>
    <n v="0"/>
    <n v="0"/>
    <n v="66733.461976151608"/>
    <n v="8906.0412646578588"/>
    <n v="19481.965266439067"/>
    <n v="27212.90386423235"/>
    <n v="11132.551580822324"/>
  </r>
  <r>
    <n v="9"/>
    <n v="11"/>
    <x v="0"/>
    <d v="2018-11-30T00:00:00"/>
    <s v="Осень"/>
    <n v="1"/>
    <n v="0"/>
    <n v="0"/>
    <n v="0"/>
    <n v="66733.461976151608"/>
    <n v="8906.0412646578588"/>
    <n v="19481.965266439067"/>
    <n v="27212.90386423235"/>
    <n v="11132.551580822324"/>
  </r>
  <r>
    <n v="10"/>
    <n v="12"/>
    <x v="0"/>
    <d v="2018-12-31T00:00:00"/>
    <s v="Зима"/>
    <n v="1"/>
    <n v="0"/>
    <n v="0"/>
    <n v="0"/>
    <n v="75565.286230270649"/>
    <n v="8906.0412646578588"/>
    <n v="20595.2204245213"/>
    <n v="30478.452327940231"/>
    <n v="15585.572213151254"/>
  </r>
  <r>
    <n v="11"/>
    <n v="1"/>
    <x v="1"/>
    <d v="2019-01-31T00:00:00"/>
    <s v="Зима"/>
    <n v="1"/>
    <n v="0"/>
    <n v="0"/>
    <n v="0"/>
    <n v="75565.286230270649"/>
    <n v="8906.0412646578588"/>
    <n v="20595.2204245213"/>
    <n v="30478.452327940231"/>
    <n v="15585.572213151254"/>
  </r>
  <r>
    <n v="12"/>
    <n v="2"/>
    <x v="1"/>
    <d v="2019-02-28T00:00:00"/>
    <s v="Зима"/>
    <n v="1"/>
    <n v="0"/>
    <n v="0"/>
    <n v="0"/>
    <n v="75565.286230270649"/>
    <n v="8906.0412646578588"/>
    <n v="20595.2204245213"/>
    <n v="30478.452327940231"/>
    <n v="15585.572213151254"/>
  </r>
  <r>
    <n v="13"/>
    <n v="3"/>
    <x v="1"/>
    <d v="2019-03-31T00:00:00"/>
    <s v="Весна"/>
    <n v="1"/>
    <n v="0"/>
    <n v="0"/>
    <n v="0"/>
    <n v="75565.286230270649"/>
    <n v="8906.0412646578588"/>
    <n v="20595.2204245213"/>
    <n v="30478.452327940231"/>
    <n v="15585.572213151254"/>
  </r>
  <r>
    <n v="14"/>
    <n v="4"/>
    <x v="1"/>
    <d v="2019-04-30T00:00:00"/>
    <s v="Весна"/>
    <n v="1"/>
    <n v="0"/>
    <n v="0"/>
    <n v="0"/>
    <n v="75565.286230270649"/>
    <n v="8906.0412646578588"/>
    <n v="20595.2204245213"/>
    <n v="30478.452327940231"/>
    <n v="15585.572213151254"/>
  </r>
  <r>
    <n v="15"/>
    <n v="5"/>
    <x v="1"/>
    <d v="2019-05-31T00:00:00"/>
    <s v="Весна"/>
    <n v="1"/>
    <n v="0"/>
    <n v="0"/>
    <n v="0"/>
    <n v="103409.03468408293"/>
    <n v="8906.0412646578588"/>
    <n v="20595.2204245213"/>
    <n v="54425.807728464701"/>
    <n v="19481.965266439067"/>
  </r>
  <r>
    <n v="16"/>
    <n v="6"/>
    <x v="1"/>
    <d v="2019-06-30T00:00:00"/>
    <s v="Лето"/>
    <n v="1"/>
    <n v="0"/>
    <n v="0"/>
    <n v="0"/>
    <n v="103409.03468408293"/>
    <n v="8906.0412646578588"/>
    <n v="20595.2204245213"/>
    <n v="54425.807728464701"/>
    <n v="19481.965266439067"/>
  </r>
  <r>
    <n v="17"/>
    <n v="7"/>
    <x v="1"/>
    <d v="2019-07-31T00:00:00"/>
    <s v="Лето"/>
    <n v="1"/>
    <n v="0"/>
    <n v="0"/>
    <n v="0"/>
    <n v="103409.03468408293"/>
    <n v="8906.0412646578588"/>
    <n v="20595.2204245213"/>
    <n v="54425.807728464701"/>
    <n v="19481.965266439067"/>
  </r>
  <r>
    <n v="18"/>
    <n v="8"/>
    <x v="1"/>
    <d v="2019-08-31T00:00:00"/>
    <s v="Лето"/>
    <n v="1"/>
    <n v="0"/>
    <n v="0"/>
    <n v="0"/>
    <n v="103409.03468408293"/>
    <n v="8906.0412646578588"/>
    <n v="20595.2204245213"/>
    <n v="54425.807728464701"/>
    <n v="19481.965266439067"/>
  </r>
  <r>
    <n v="19"/>
    <n v="9"/>
    <x v="1"/>
    <d v="2019-09-30T00:00:00"/>
    <s v="Осень"/>
    <n v="1"/>
    <n v="0"/>
    <n v="0"/>
    <n v="0"/>
    <n v="103409.03468408293"/>
    <n v="8906.0412646578588"/>
    <n v="20595.2204245213"/>
    <n v="54425.807728464701"/>
    <n v="19481.965266439067"/>
  </r>
  <r>
    <n v="20"/>
    <n v="10"/>
    <x v="1"/>
    <d v="2019-10-31T00:00:00"/>
    <s v="Осень"/>
    <n v="1"/>
    <n v="0"/>
    <n v="0"/>
    <n v="0"/>
    <n v="103409.03468408293"/>
    <n v="8906.0412646578588"/>
    <n v="20595.2204245213"/>
    <n v="54425.807728464701"/>
    <n v="19481.965266439067"/>
  </r>
  <r>
    <n v="21"/>
    <n v="11"/>
    <x v="1"/>
    <d v="2019-11-30T00:00:00"/>
    <s v="Осень"/>
    <n v="1"/>
    <n v="0"/>
    <n v="0"/>
    <n v="0"/>
    <n v="103409.03468408293"/>
    <n v="8906.0412646578588"/>
    <n v="20595.2204245213"/>
    <n v="54425.807728464701"/>
    <n v="19481.965266439067"/>
  </r>
  <r>
    <n v="22"/>
    <n v="12"/>
    <x v="1"/>
    <d v="2019-12-31T00:00:00"/>
    <s v="Зима"/>
    <n v="1"/>
    <n v="0"/>
    <n v="0"/>
    <n v="0"/>
    <n v="103409.03468408293"/>
    <n v="8906.0412646578588"/>
    <n v="20595.2204245213"/>
    <n v="54425.807728464701"/>
    <n v="19481.965266439067"/>
  </r>
  <r>
    <n v="23"/>
    <n v="1"/>
    <x v="2"/>
    <d v="2020-01-31T00:00:00"/>
    <s v="Зима"/>
    <n v="1"/>
    <n v="0"/>
    <n v="0"/>
    <n v="0"/>
    <n v="103409.03468408293"/>
    <n v="8906.0412646578588"/>
    <n v="20595.2204245213"/>
    <n v="54425.807728464701"/>
    <n v="19481.965266439067"/>
  </r>
  <r>
    <n v="24"/>
    <n v="2"/>
    <x v="2"/>
    <d v="2020-02-29T00:00:00"/>
    <s v="Зима"/>
    <n v="1"/>
    <n v="0"/>
    <n v="0"/>
    <n v="0"/>
    <n v="103409.03468408293"/>
    <n v="8906.0412646578588"/>
    <n v="20595.2204245213"/>
    <n v="54425.807728464701"/>
    <n v="19481.965266439067"/>
  </r>
  <r>
    <n v="25"/>
    <n v="3"/>
    <x v="2"/>
    <d v="2020-03-31T00:00:00"/>
    <s v="Весна"/>
    <n v="1"/>
    <n v="0"/>
    <n v="0"/>
    <n v="0"/>
    <n v="103409.03468408293"/>
    <n v="8906.0412646578588"/>
    <n v="20595.2204245213"/>
    <n v="54425.807728464701"/>
    <n v="19481.965266439067"/>
  </r>
  <r>
    <n v="26"/>
    <n v="4"/>
    <x v="2"/>
    <d v="2020-04-30T00:00:00"/>
    <s v="Весна"/>
    <n v="1"/>
    <n v="0"/>
    <n v="0"/>
    <n v="0"/>
    <n v="103409.03468408293"/>
    <n v="8906.0412646578588"/>
    <n v="20595.2204245213"/>
    <n v="54425.807728464701"/>
    <n v="19481.965266439067"/>
  </r>
  <r>
    <n v="27"/>
    <n v="5"/>
    <x v="2"/>
    <d v="2020-05-31T00:00:00"/>
    <s v="Весна"/>
    <n v="1"/>
    <n v="0"/>
    <n v="0"/>
    <n v="0"/>
    <n v="103409.03468408293"/>
    <n v="8906.0412646578588"/>
    <n v="20595.2204245213"/>
    <n v="54425.807728464701"/>
    <n v="19481.965266439067"/>
  </r>
  <r>
    <n v="28"/>
    <n v="6"/>
    <x v="2"/>
    <d v="2020-06-30T00:00:00"/>
    <s v="Лето"/>
    <n v="1"/>
    <n v="0"/>
    <n v="0"/>
    <n v="0"/>
    <n v="103409.03468408293"/>
    <n v="8906.0412646578588"/>
    <n v="20595.2204245213"/>
    <n v="54425.807728464701"/>
    <n v="19481.965266439067"/>
  </r>
  <r>
    <n v="29"/>
    <n v="7"/>
    <x v="2"/>
    <d v="2020-07-31T00:00:00"/>
    <s v="Лето"/>
    <n v="1"/>
    <n v="0"/>
    <n v="0"/>
    <n v="0"/>
    <n v="103409.03468408293"/>
    <n v="8906.0412646578588"/>
    <n v="20595.2204245213"/>
    <n v="54425.807728464701"/>
    <n v="19481.965266439067"/>
  </r>
  <r>
    <n v="30"/>
    <n v="8"/>
    <x v="2"/>
    <d v="2020-08-31T00:00:00"/>
    <s v="Лето"/>
    <n v="1"/>
    <n v="0"/>
    <n v="0"/>
    <n v="0"/>
    <n v="103409.03468408293"/>
    <n v="8906.0412646578588"/>
    <n v="20595.2204245213"/>
    <n v="54425.807728464701"/>
    <n v="19481.965266439067"/>
  </r>
  <r>
    <n v="31"/>
    <n v="9"/>
    <x v="2"/>
    <d v="2020-09-30T00:00:00"/>
    <s v="Осень"/>
    <n v="1"/>
    <n v="0"/>
    <n v="0"/>
    <n v="0"/>
    <n v="103409.03468408293"/>
    <n v="8906.0412646578588"/>
    <n v="20595.2204245213"/>
    <n v="54425.807728464701"/>
    <n v="19481.965266439067"/>
  </r>
  <r>
    <n v="32"/>
    <n v="10"/>
    <x v="2"/>
    <d v="2020-10-31T00:00:00"/>
    <s v="Осень"/>
    <n v="1"/>
    <n v="0"/>
    <n v="0"/>
    <n v="0"/>
    <n v="103409.03468408293"/>
    <n v="8906.0412646578588"/>
    <n v="20595.2204245213"/>
    <n v="54425.807728464701"/>
    <n v="19481.965266439067"/>
  </r>
  <r>
    <n v="33"/>
    <n v="11"/>
    <x v="2"/>
    <d v="2020-11-30T00:00:00"/>
    <s v="Осень"/>
    <n v="1"/>
    <n v="0"/>
    <n v="0"/>
    <n v="0"/>
    <n v="103409.03468408293"/>
    <n v="8906.0412646578588"/>
    <n v="20595.2204245213"/>
    <n v="54425.807728464701"/>
    <n v="19481.965266439067"/>
  </r>
  <r>
    <n v="34"/>
    <n v="12"/>
    <x v="2"/>
    <d v="2020-12-31T00:00:00"/>
    <s v="Зима"/>
    <n v="1"/>
    <n v="0"/>
    <n v="0"/>
    <n v="0"/>
    <n v="103409.03468408293"/>
    <n v="8906.0412646578588"/>
    <n v="20595.2204245213"/>
    <n v="54425.807728464701"/>
    <n v="19481.965266439067"/>
  </r>
  <r>
    <n v="35"/>
    <n v="1"/>
    <x v="3"/>
    <d v="2021-01-31T00:00:00"/>
    <s v="Зима"/>
    <n v="1"/>
    <n v="0"/>
    <n v="0"/>
    <n v="0"/>
    <n v="103409.03468408293"/>
    <n v="8906.0412646578588"/>
    <n v="20595.2204245213"/>
    <n v="54425.807728464701"/>
    <n v="19481.965266439067"/>
  </r>
  <r>
    <n v="36"/>
    <n v="2"/>
    <x v="3"/>
    <d v="2021-02-28T00:00:00"/>
    <s v="Зима"/>
    <n v="1"/>
    <n v="0"/>
    <n v="0"/>
    <n v="0"/>
    <n v="103409.03468408293"/>
    <n v="8906.0412646578588"/>
    <n v="20595.2204245213"/>
    <n v="54425.807728464701"/>
    <n v="19481.965266439067"/>
  </r>
  <r>
    <n v="37"/>
    <n v="3"/>
    <x v="3"/>
    <d v="2021-03-31T00:00:00"/>
    <s v="Весна"/>
    <n v="1"/>
    <n v="0"/>
    <n v="0"/>
    <n v="0"/>
    <n v="103409.03468408293"/>
    <n v="8906.0412646578588"/>
    <n v="20595.2204245213"/>
    <n v="54425.807728464701"/>
    <n v="19481.965266439067"/>
  </r>
  <r>
    <n v="38"/>
    <n v="4"/>
    <x v="3"/>
    <d v="2021-04-30T00:00:00"/>
    <s v="Весна"/>
    <n v="1"/>
    <n v="0"/>
    <n v="0"/>
    <n v="0"/>
    <n v="103409.03468408293"/>
    <n v="8906.0412646578588"/>
    <n v="20595.2204245213"/>
    <n v="54425.807728464701"/>
    <n v="19481.965266439067"/>
  </r>
  <r>
    <n v="39"/>
    <n v="5"/>
    <x v="3"/>
    <d v="2021-05-31T00:00:00"/>
    <s v="Весна"/>
    <n v="1"/>
    <n v="0"/>
    <n v="0"/>
    <n v="0"/>
    <n v="103409.03468408293"/>
    <n v="8906.0412646578588"/>
    <n v="20595.2204245213"/>
    <n v="54425.807728464701"/>
    <n v="19481.965266439067"/>
  </r>
  <r>
    <n v="40"/>
    <n v="6"/>
    <x v="3"/>
    <d v="2021-06-30T00:00:00"/>
    <s v="Лето"/>
    <n v="1"/>
    <n v="0"/>
    <n v="0"/>
    <n v="0"/>
    <n v="103409.03468408293"/>
    <n v="8906.0412646578588"/>
    <n v="20595.2204245213"/>
    <n v="54425.807728464701"/>
    <n v="19481.965266439067"/>
  </r>
  <r>
    <n v="41"/>
    <n v="7"/>
    <x v="3"/>
    <d v="2021-07-31T00:00:00"/>
    <s v="Лето"/>
    <n v="1"/>
    <n v="0"/>
    <n v="0"/>
    <n v="0"/>
    <n v="103409.03468408293"/>
    <n v="8906.0412646578588"/>
    <n v="20595.2204245213"/>
    <n v="54425.807728464701"/>
    <n v="19481.965266439067"/>
  </r>
  <r>
    <n v="42"/>
    <n v="8"/>
    <x v="3"/>
    <d v="2021-08-31T00:00:00"/>
    <s v="Лето"/>
    <n v="1"/>
    <n v="0"/>
    <n v="0"/>
    <n v="0"/>
    <n v="103409.03468408293"/>
    <n v="8906.0412646578588"/>
    <n v="20595.2204245213"/>
    <n v="54425.807728464701"/>
    <n v="19481.965266439067"/>
  </r>
  <r>
    <n v="43"/>
    <n v="9"/>
    <x v="3"/>
    <d v="2021-09-30T00:00:00"/>
    <s v="Осень"/>
    <n v="1"/>
    <n v="0"/>
    <n v="0"/>
    <n v="0"/>
    <n v="103409.03468408293"/>
    <n v="8906.0412646578588"/>
    <n v="20595.2204245213"/>
    <n v="54425.807728464701"/>
    <n v="19481.965266439067"/>
  </r>
  <r>
    <n v="44"/>
    <n v="10"/>
    <x v="3"/>
    <d v="2021-10-31T00:00:00"/>
    <s v="Осень"/>
    <n v="1"/>
    <n v="0"/>
    <n v="0"/>
    <n v="0"/>
    <n v="103409.03468408293"/>
    <n v="8906.0412646578588"/>
    <n v="20595.2204245213"/>
    <n v="54425.807728464701"/>
    <n v="19481.965266439067"/>
  </r>
  <r>
    <n v="45"/>
    <n v="11"/>
    <x v="3"/>
    <d v="2021-11-30T00:00:00"/>
    <s v="Осень"/>
    <n v="1"/>
    <n v="0"/>
    <n v="0"/>
    <n v="0"/>
    <n v="103409.03468408293"/>
    <n v="8906.0412646578588"/>
    <n v="20595.2204245213"/>
    <n v="54425.807728464701"/>
    <n v="19481.965266439067"/>
  </r>
  <r>
    <n v="46"/>
    <n v="12"/>
    <x v="3"/>
    <d v="2021-12-31T00:00:00"/>
    <s v="Зима"/>
    <n v="1"/>
    <n v="0"/>
    <n v="0"/>
    <n v="0"/>
    <n v="103409.03468408293"/>
    <n v="8906.0412646578588"/>
    <n v="20595.2204245213"/>
    <n v="54425.807728464701"/>
    <n v="19481.965266439067"/>
  </r>
  <r>
    <n v="47"/>
    <n v="1"/>
    <x v="4"/>
    <d v="2022-01-31T00:00:00"/>
    <s v="Зима"/>
    <n v="1"/>
    <n v="0"/>
    <n v="0"/>
    <n v="0"/>
    <n v="103409.03468408293"/>
    <n v="8906.0412646578588"/>
    <n v="20595.2204245213"/>
    <n v="54425.807728464701"/>
    <n v="19481.965266439067"/>
  </r>
  <r>
    <n v="48"/>
    <n v="2"/>
    <x v="4"/>
    <d v="2022-02-28T00:00:00"/>
    <s v="Зима"/>
    <n v="1"/>
    <n v="0"/>
    <n v="0"/>
    <n v="0"/>
    <n v="103409.03468408293"/>
    <n v="8906.0412646578588"/>
    <n v="20595.2204245213"/>
    <n v="54425.807728464701"/>
    <n v="19481.965266439067"/>
  </r>
  <r>
    <n v="49"/>
    <n v="3"/>
    <x v="4"/>
    <d v="2022-03-31T00:00:00"/>
    <s v="Весна"/>
    <n v="1"/>
    <n v="0"/>
    <n v="0"/>
    <n v="0"/>
    <n v="103409.03468408293"/>
    <n v="8906.0412646578588"/>
    <n v="20595.2204245213"/>
    <n v="54425.807728464701"/>
    <n v="19481.965266439067"/>
  </r>
  <r>
    <n v="50"/>
    <n v="4"/>
    <x v="4"/>
    <d v="2022-04-30T00:00:00"/>
    <s v="Весна"/>
    <n v="1"/>
    <n v="0"/>
    <n v="0"/>
    <n v="0"/>
    <n v="103409.03468408293"/>
    <n v="8906.0412646578588"/>
    <n v="20595.2204245213"/>
    <n v="54425.807728464701"/>
    <n v="19481.965266439067"/>
  </r>
  <r>
    <n v="51"/>
    <n v="5"/>
    <x v="4"/>
    <d v="2022-05-31T00:00:00"/>
    <s v="Весна"/>
    <n v="1"/>
    <n v="0"/>
    <n v="0"/>
    <n v="0"/>
    <n v="103409.03468408293"/>
    <n v="8906.0412646578588"/>
    <n v="20595.2204245213"/>
    <n v="54425.807728464701"/>
    <n v="19481.965266439067"/>
  </r>
  <r>
    <n v="52"/>
    <n v="6"/>
    <x v="4"/>
    <d v="2022-06-30T00:00:00"/>
    <s v="Лето"/>
    <n v="1"/>
    <n v="0"/>
    <n v="0"/>
    <n v="0"/>
    <n v="103409.03468408293"/>
    <n v="8906.0412646578588"/>
    <n v="20595.2204245213"/>
    <n v="54425.807728464701"/>
    <n v="19481.965266439067"/>
  </r>
  <r>
    <n v="53"/>
    <n v="7"/>
    <x v="4"/>
    <d v="2022-07-31T00:00:00"/>
    <s v="Лето"/>
    <n v="1"/>
    <n v="0"/>
    <n v="0"/>
    <n v="0"/>
    <n v="103409.03468408293"/>
    <n v="8906.0412646578588"/>
    <n v="20595.2204245213"/>
    <n v="54425.807728464701"/>
    <n v="19481.965266439067"/>
  </r>
  <r>
    <n v="54"/>
    <n v="8"/>
    <x v="4"/>
    <d v="2022-08-31T00:00:00"/>
    <s v="Лето"/>
    <n v="1"/>
    <n v="0"/>
    <n v="0"/>
    <n v="0"/>
    <n v="103409.03468408293"/>
    <n v="8906.0412646578588"/>
    <n v="20595.2204245213"/>
    <n v="54425.807728464701"/>
    <n v="19481.965266439067"/>
  </r>
  <r>
    <n v="55"/>
    <n v="9"/>
    <x v="4"/>
    <d v="2022-09-30T00:00:00"/>
    <s v="Осень"/>
    <n v="1"/>
    <n v="0"/>
    <n v="0"/>
    <n v="0"/>
    <n v="103409.03468408293"/>
    <n v="8906.0412646578588"/>
    <n v="20595.2204245213"/>
    <n v="54425.807728464701"/>
    <n v="19481.965266439067"/>
  </r>
  <r>
    <n v="56"/>
    <n v="10"/>
    <x v="4"/>
    <d v="2022-10-31T00:00:00"/>
    <s v="Осень"/>
    <n v="1"/>
    <n v="0"/>
    <n v="0"/>
    <n v="0"/>
    <n v="103409.03468408293"/>
    <n v="8906.0412646578588"/>
    <n v="20595.2204245213"/>
    <n v="54425.807728464701"/>
    <n v="19481.965266439067"/>
  </r>
  <r>
    <n v="57"/>
    <n v="11"/>
    <x v="4"/>
    <d v="2022-11-30T00:00:00"/>
    <s v="Осень"/>
    <n v="1"/>
    <n v="0"/>
    <n v="0"/>
    <n v="0"/>
    <n v="103409.03468408293"/>
    <n v="8906.0412646578588"/>
    <n v="20595.2204245213"/>
    <n v="54425.807728464701"/>
    <n v="19481.965266439067"/>
  </r>
  <r>
    <n v="58"/>
    <n v="12"/>
    <x v="4"/>
    <d v="2022-12-31T00:00:00"/>
    <s v="Зима"/>
    <n v="1"/>
    <n v="0"/>
    <n v="0"/>
    <n v="0"/>
    <n v="103409.03468408293"/>
    <n v="8906.0412646578588"/>
    <n v="20595.2204245213"/>
    <n v="54425.807728464701"/>
    <n v="19481.965266439067"/>
  </r>
  <r>
    <n v="59"/>
    <n v="1"/>
    <x v="5"/>
    <d v="2023-01-31T00:00:00"/>
    <s v="Зима"/>
    <n v="1"/>
    <n v="0"/>
    <n v="0"/>
    <n v="0"/>
    <n v="103409.03468408293"/>
    <n v="8906.0412646578588"/>
    <n v="20595.2204245213"/>
    <n v="54425.807728464701"/>
    <n v="19481.965266439067"/>
  </r>
  <r>
    <n v="60"/>
    <n v="2"/>
    <x v="5"/>
    <d v="2023-02-28T00:00:00"/>
    <s v="Зима"/>
    <n v="1"/>
    <n v="0"/>
    <n v="0"/>
    <n v="0"/>
    <n v="103409.03468408293"/>
    <n v="8906.0412646578588"/>
    <n v="20595.2204245213"/>
    <n v="54425.807728464701"/>
    <n v="19481.96526643906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">
  <r>
    <x v="0"/>
    <n v="0"/>
    <n v="0"/>
    <n v="0"/>
    <n v="0"/>
    <n v="0"/>
    <n v="0"/>
    <n v="0"/>
    <n v="0"/>
    <n v="0"/>
    <n v="0"/>
  </r>
  <r>
    <x v="0"/>
    <n v="39000"/>
    <n v="39000"/>
    <n v="0"/>
    <n v="0"/>
    <n v="559000"/>
    <n v="637000"/>
    <n v="490000"/>
    <n v="0"/>
    <n v="147000"/>
    <n v="637000"/>
  </r>
  <r>
    <x v="0"/>
    <n v="39000"/>
    <n v="39000"/>
    <n v="0"/>
    <n v="0"/>
    <n v="559000"/>
    <n v="637000"/>
    <n v="490000"/>
    <n v="0"/>
    <n v="147000"/>
    <n v="637000"/>
  </r>
  <r>
    <x v="0"/>
    <n v="39000"/>
    <n v="39000"/>
    <n v="0"/>
    <n v="0"/>
    <n v="559000"/>
    <n v="637000"/>
    <n v="490000"/>
    <n v="0"/>
    <n v="147000"/>
    <n v="637000"/>
  </r>
  <r>
    <x v="0"/>
    <n v="39000"/>
    <n v="39000"/>
    <n v="0"/>
    <n v="0"/>
    <n v="559000"/>
    <n v="637000"/>
    <n v="490000"/>
    <n v="0"/>
    <n v="147000"/>
    <n v="637000"/>
  </r>
  <r>
    <x v="0"/>
    <n v="39000"/>
    <n v="39000"/>
    <n v="0"/>
    <n v="0"/>
    <n v="637000"/>
    <n v="715000"/>
    <n v="550000"/>
    <n v="0"/>
    <n v="165000"/>
    <n v="715000"/>
  </r>
  <r>
    <x v="0"/>
    <n v="39000"/>
    <n v="39000"/>
    <n v="0"/>
    <n v="0"/>
    <n v="637000"/>
    <n v="715000"/>
    <n v="550000"/>
    <n v="0"/>
    <n v="165000"/>
    <n v="715000"/>
  </r>
  <r>
    <x v="0"/>
    <n v="39000"/>
    <n v="39000"/>
    <n v="0"/>
    <n v="0"/>
    <n v="637000"/>
    <n v="715000"/>
    <n v="550000"/>
    <n v="0"/>
    <n v="165000"/>
    <n v="715000"/>
  </r>
  <r>
    <x v="0"/>
    <n v="39000"/>
    <n v="39000"/>
    <n v="0"/>
    <n v="0"/>
    <n v="637000"/>
    <n v="715000"/>
    <n v="550000"/>
    <n v="0"/>
    <n v="165000"/>
    <n v="715000"/>
  </r>
  <r>
    <x v="0"/>
    <n v="39000"/>
    <n v="39000"/>
    <n v="0"/>
    <n v="0"/>
    <n v="715000"/>
    <n v="793000"/>
    <n v="610000"/>
    <n v="0"/>
    <n v="183000"/>
    <n v="793000"/>
  </r>
  <r>
    <x v="0"/>
    <n v="39000"/>
    <n v="39000"/>
    <n v="0"/>
    <n v="0"/>
    <n v="715000"/>
    <n v="793000"/>
    <n v="610000"/>
    <n v="0"/>
    <n v="183000"/>
    <n v="793000"/>
  </r>
  <r>
    <x v="1"/>
    <n v="39000"/>
    <n v="39000"/>
    <n v="0"/>
    <n v="0"/>
    <n v="715000"/>
    <n v="793000"/>
    <n v="610000"/>
    <n v="0"/>
    <n v="183000"/>
    <n v="793000"/>
  </r>
  <r>
    <x v="1"/>
    <n v="39000"/>
    <n v="39000"/>
    <n v="0"/>
    <n v="0"/>
    <n v="715000"/>
    <n v="793000"/>
    <n v="610000"/>
    <n v="0"/>
    <n v="183000"/>
    <n v="793000"/>
  </r>
  <r>
    <x v="1"/>
    <n v="39000"/>
    <n v="39000"/>
    <n v="0"/>
    <n v="0"/>
    <n v="715000"/>
    <n v="793000"/>
    <n v="610000"/>
    <n v="0"/>
    <n v="183000"/>
    <n v="793000"/>
  </r>
  <r>
    <x v="1"/>
    <n v="39000"/>
    <n v="39000"/>
    <n v="0"/>
    <n v="0"/>
    <n v="715000"/>
    <n v="793000"/>
    <n v="610000"/>
    <n v="0"/>
    <n v="183000"/>
    <n v="793000"/>
  </r>
  <r>
    <x v="1"/>
    <n v="39000"/>
    <n v="39000"/>
    <n v="0"/>
    <n v="0"/>
    <n v="715000"/>
    <n v="793000"/>
    <n v="610000"/>
    <n v="0"/>
    <n v="183000"/>
    <n v="793000"/>
  </r>
  <r>
    <x v="1"/>
    <n v="39000"/>
    <n v="39000"/>
    <n v="0"/>
    <n v="0"/>
    <n v="715000"/>
    <n v="793000"/>
    <n v="610000"/>
    <n v="0"/>
    <n v="183000"/>
    <n v="793000"/>
  </r>
  <r>
    <x v="1"/>
    <n v="39000"/>
    <n v="39000"/>
    <n v="0"/>
    <n v="0"/>
    <n v="715000"/>
    <n v="793000"/>
    <n v="610000"/>
    <n v="0"/>
    <n v="183000"/>
    <n v="793000"/>
  </r>
  <r>
    <x v="1"/>
    <n v="39000"/>
    <n v="39000"/>
    <n v="0"/>
    <n v="0"/>
    <n v="715000"/>
    <n v="793000"/>
    <n v="610000"/>
    <n v="0"/>
    <n v="183000"/>
    <n v="793000"/>
  </r>
  <r>
    <x v="1"/>
    <n v="39000"/>
    <n v="39000"/>
    <n v="0"/>
    <n v="0"/>
    <n v="715000"/>
    <n v="793000"/>
    <n v="610000"/>
    <n v="0"/>
    <n v="183000"/>
    <n v="793000"/>
  </r>
  <r>
    <x v="1"/>
    <n v="39000"/>
    <n v="39000"/>
    <n v="0"/>
    <n v="0"/>
    <n v="715000"/>
    <n v="793000"/>
    <n v="610000"/>
    <n v="0"/>
    <n v="183000"/>
    <n v="793000"/>
  </r>
  <r>
    <x v="1"/>
    <n v="39000"/>
    <n v="39000"/>
    <n v="0"/>
    <n v="0"/>
    <n v="715000"/>
    <n v="793000"/>
    <n v="610000"/>
    <n v="0"/>
    <n v="183000"/>
    <n v="793000"/>
  </r>
  <r>
    <x v="1"/>
    <n v="39000"/>
    <n v="39000"/>
    <n v="0"/>
    <n v="0"/>
    <n v="715000"/>
    <n v="793000"/>
    <n v="610000"/>
    <n v="0"/>
    <n v="183000"/>
    <n v="793000"/>
  </r>
  <r>
    <x v="2"/>
    <n v="39000"/>
    <n v="39000"/>
    <n v="0"/>
    <n v="0"/>
    <n v="715000"/>
    <n v="793000"/>
    <n v="610000"/>
    <n v="0"/>
    <n v="183000"/>
    <n v="793000"/>
  </r>
  <r>
    <x v="2"/>
    <n v="39000"/>
    <n v="39000"/>
    <n v="0"/>
    <n v="0"/>
    <n v="715000"/>
    <n v="793000"/>
    <n v="610000"/>
    <n v="0"/>
    <n v="183000"/>
    <n v="793000"/>
  </r>
  <r>
    <x v="2"/>
    <n v="39000"/>
    <n v="39000"/>
    <n v="0"/>
    <n v="0"/>
    <n v="715000"/>
    <n v="793000"/>
    <n v="610000"/>
    <n v="0"/>
    <n v="183000"/>
    <n v="793000"/>
  </r>
  <r>
    <x v="2"/>
    <n v="39000"/>
    <n v="39000"/>
    <n v="0"/>
    <n v="0"/>
    <n v="715000"/>
    <n v="793000"/>
    <n v="610000"/>
    <n v="0"/>
    <n v="183000"/>
    <n v="793000"/>
  </r>
  <r>
    <x v="2"/>
    <n v="39000"/>
    <n v="39000"/>
    <n v="0"/>
    <n v="0"/>
    <n v="715000"/>
    <n v="793000"/>
    <n v="610000"/>
    <n v="0"/>
    <n v="183000"/>
    <n v="793000"/>
  </r>
  <r>
    <x v="2"/>
    <n v="39000"/>
    <n v="39000"/>
    <n v="0"/>
    <n v="0"/>
    <n v="715000"/>
    <n v="793000"/>
    <n v="610000"/>
    <n v="0"/>
    <n v="183000"/>
    <n v="793000"/>
  </r>
  <r>
    <x v="2"/>
    <n v="39000"/>
    <n v="39000"/>
    <n v="0"/>
    <n v="0"/>
    <n v="715000"/>
    <n v="793000"/>
    <n v="610000"/>
    <n v="0"/>
    <n v="183000"/>
    <n v="793000"/>
  </r>
  <r>
    <x v="2"/>
    <n v="39000"/>
    <n v="39000"/>
    <n v="0"/>
    <n v="0"/>
    <n v="715000"/>
    <n v="793000"/>
    <n v="610000"/>
    <n v="0"/>
    <n v="183000"/>
    <n v="793000"/>
  </r>
  <r>
    <x v="2"/>
    <n v="39000"/>
    <n v="39000"/>
    <n v="0"/>
    <n v="0"/>
    <n v="715000"/>
    <n v="793000"/>
    <n v="610000"/>
    <n v="0"/>
    <n v="183000"/>
    <n v="793000"/>
  </r>
  <r>
    <x v="2"/>
    <n v="39000"/>
    <n v="39000"/>
    <n v="0"/>
    <n v="0"/>
    <n v="715000"/>
    <n v="793000"/>
    <n v="610000"/>
    <n v="0"/>
    <n v="183000"/>
    <n v="793000"/>
  </r>
  <r>
    <x v="2"/>
    <n v="39000"/>
    <n v="39000"/>
    <n v="0"/>
    <n v="0"/>
    <n v="715000"/>
    <n v="793000"/>
    <n v="610000"/>
    <n v="0"/>
    <n v="183000"/>
    <n v="793000"/>
  </r>
  <r>
    <x v="2"/>
    <n v="39000"/>
    <n v="39000"/>
    <n v="0"/>
    <n v="0"/>
    <n v="715000"/>
    <n v="793000"/>
    <n v="610000"/>
    <n v="0"/>
    <n v="183000"/>
    <n v="793000"/>
  </r>
  <r>
    <x v="3"/>
    <n v="39000"/>
    <n v="39000"/>
    <n v="0"/>
    <n v="0"/>
    <n v="715000"/>
    <n v="793000"/>
    <n v="610000"/>
    <n v="0"/>
    <n v="183000"/>
    <n v="793000"/>
  </r>
  <r>
    <x v="3"/>
    <n v="39000"/>
    <n v="39000"/>
    <n v="0"/>
    <n v="0"/>
    <n v="715000"/>
    <n v="793000"/>
    <n v="610000"/>
    <n v="0"/>
    <n v="183000"/>
    <n v="793000"/>
  </r>
  <r>
    <x v="3"/>
    <n v="39000"/>
    <n v="39000"/>
    <n v="0"/>
    <n v="0"/>
    <n v="715000"/>
    <n v="793000"/>
    <n v="610000"/>
    <n v="0"/>
    <n v="183000"/>
    <n v="793000"/>
  </r>
  <r>
    <x v="3"/>
    <n v="39000"/>
    <n v="39000"/>
    <n v="0"/>
    <n v="0"/>
    <n v="715000"/>
    <n v="793000"/>
    <n v="610000"/>
    <n v="0"/>
    <n v="183000"/>
    <n v="793000"/>
  </r>
  <r>
    <x v="3"/>
    <n v="39000"/>
    <n v="39000"/>
    <n v="0"/>
    <n v="0"/>
    <n v="715000"/>
    <n v="793000"/>
    <n v="610000"/>
    <n v="0"/>
    <n v="183000"/>
    <n v="793000"/>
  </r>
  <r>
    <x v="3"/>
    <n v="39000"/>
    <n v="39000"/>
    <n v="0"/>
    <n v="0"/>
    <n v="715000"/>
    <n v="793000"/>
    <n v="610000"/>
    <n v="0"/>
    <n v="183000"/>
    <n v="793000"/>
  </r>
  <r>
    <x v="3"/>
    <n v="39000"/>
    <n v="39000"/>
    <n v="0"/>
    <n v="0"/>
    <n v="715000"/>
    <n v="793000"/>
    <n v="610000"/>
    <n v="0"/>
    <n v="183000"/>
    <n v="793000"/>
  </r>
  <r>
    <x v="3"/>
    <n v="39000"/>
    <n v="39000"/>
    <n v="0"/>
    <n v="0"/>
    <n v="715000"/>
    <n v="793000"/>
    <n v="610000"/>
    <n v="0"/>
    <n v="183000"/>
    <n v="793000"/>
  </r>
  <r>
    <x v="3"/>
    <n v="39000"/>
    <n v="39000"/>
    <n v="0"/>
    <n v="0"/>
    <n v="715000"/>
    <n v="793000"/>
    <n v="610000"/>
    <n v="0"/>
    <n v="183000"/>
    <n v="793000"/>
  </r>
  <r>
    <x v="3"/>
    <n v="39000"/>
    <n v="39000"/>
    <n v="0"/>
    <n v="0"/>
    <n v="715000"/>
    <n v="793000"/>
    <n v="610000"/>
    <n v="0"/>
    <n v="183000"/>
    <n v="793000"/>
  </r>
  <r>
    <x v="3"/>
    <n v="39000"/>
    <n v="39000"/>
    <n v="0"/>
    <n v="0"/>
    <n v="715000"/>
    <n v="793000"/>
    <n v="610000"/>
    <n v="0"/>
    <n v="183000"/>
    <n v="793000"/>
  </r>
  <r>
    <x v="3"/>
    <n v="39000"/>
    <n v="39000"/>
    <n v="0"/>
    <n v="0"/>
    <n v="715000"/>
    <n v="793000"/>
    <n v="610000"/>
    <n v="0"/>
    <n v="183000"/>
    <n v="793000"/>
  </r>
  <r>
    <x v="4"/>
    <n v="39000"/>
    <n v="39000"/>
    <n v="0"/>
    <n v="0"/>
    <n v="715000"/>
    <n v="793000"/>
    <n v="610000"/>
    <n v="0"/>
    <n v="183000"/>
    <n v="793000"/>
  </r>
  <r>
    <x v="4"/>
    <n v="39000"/>
    <n v="39000"/>
    <n v="0"/>
    <n v="0"/>
    <n v="715000"/>
    <n v="793000"/>
    <n v="610000"/>
    <n v="0"/>
    <n v="183000"/>
    <n v="793000"/>
  </r>
  <r>
    <x v="4"/>
    <n v="39000"/>
    <n v="39000"/>
    <n v="0"/>
    <n v="0"/>
    <n v="715000"/>
    <n v="793000"/>
    <n v="610000"/>
    <n v="0"/>
    <n v="183000"/>
    <n v="793000"/>
  </r>
  <r>
    <x v="4"/>
    <n v="39000"/>
    <n v="39000"/>
    <n v="0"/>
    <n v="0"/>
    <n v="715000"/>
    <n v="793000"/>
    <n v="610000"/>
    <n v="0"/>
    <n v="183000"/>
    <n v="793000"/>
  </r>
  <r>
    <x v="4"/>
    <n v="39000"/>
    <n v="39000"/>
    <n v="0"/>
    <n v="0"/>
    <n v="715000"/>
    <n v="793000"/>
    <n v="610000"/>
    <n v="0"/>
    <n v="183000"/>
    <n v="793000"/>
  </r>
  <r>
    <x v="4"/>
    <n v="39000"/>
    <n v="39000"/>
    <n v="0"/>
    <n v="0"/>
    <n v="715000"/>
    <n v="793000"/>
    <n v="610000"/>
    <n v="0"/>
    <n v="183000"/>
    <n v="793000"/>
  </r>
  <r>
    <x v="4"/>
    <n v="39000"/>
    <n v="39000"/>
    <n v="0"/>
    <n v="0"/>
    <n v="715000"/>
    <n v="793000"/>
    <n v="610000"/>
    <n v="0"/>
    <n v="183000"/>
    <n v="793000"/>
  </r>
  <r>
    <x v="4"/>
    <n v="39000"/>
    <n v="39000"/>
    <n v="0"/>
    <n v="0"/>
    <n v="715000"/>
    <n v="793000"/>
    <n v="610000"/>
    <n v="0"/>
    <n v="183000"/>
    <n v="793000"/>
  </r>
  <r>
    <x v="4"/>
    <n v="39000"/>
    <n v="39000"/>
    <n v="0"/>
    <n v="0"/>
    <n v="715000"/>
    <n v="793000"/>
    <n v="610000"/>
    <n v="0"/>
    <n v="183000"/>
    <n v="793000"/>
  </r>
  <r>
    <x v="4"/>
    <n v="39000"/>
    <n v="39000"/>
    <n v="0"/>
    <n v="0"/>
    <n v="715000"/>
    <n v="793000"/>
    <n v="610000"/>
    <n v="0"/>
    <n v="183000"/>
    <n v="793000"/>
  </r>
  <r>
    <x v="4"/>
    <n v="39000"/>
    <n v="39000"/>
    <n v="0"/>
    <n v="0"/>
    <n v="715000"/>
    <n v="793000"/>
    <n v="610000"/>
    <n v="0"/>
    <n v="183000"/>
    <n v="793000"/>
  </r>
  <r>
    <x v="4"/>
    <n v="39000"/>
    <n v="39000"/>
    <n v="0"/>
    <n v="0"/>
    <n v="715000"/>
    <n v="793000"/>
    <n v="610000"/>
    <n v="0"/>
    <n v="183000"/>
    <n v="793000"/>
  </r>
  <r>
    <x v="5"/>
    <n v="39000"/>
    <n v="39000"/>
    <n v="0"/>
    <n v="0"/>
    <n v="715000"/>
    <n v="793000"/>
    <n v="610000"/>
    <n v="0"/>
    <n v="183000"/>
    <n v="793000"/>
  </r>
  <r>
    <x v="5"/>
    <n v="39000"/>
    <n v="39000"/>
    <n v="0"/>
    <n v="0"/>
    <n v="715000"/>
    <n v="793000"/>
    <n v="610000"/>
    <n v="0"/>
    <n v="183000"/>
    <n v="79300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870405-5723-4FB3-B9F8-851CD2190D15}" name="Сводная таблица1" cacheId="1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B4:AD11" firstHeaderRow="0" firstDataRow="1" firstDataCol="1"/>
  <pivotFields count="11">
    <pivotField axis="axisRow" numFmtId="4" showAll="0">
      <items count="8">
        <item h="1" x="6"/>
        <item x="0"/>
        <item x="1"/>
        <item x="2"/>
        <item x="3"/>
        <item x="4"/>
        <item x="5"/>
        <item t="default"/>
      </items>
    </pivotField>
    <pivotField numFmtId="4" showAll="0"/>
    <pivotField numFmtId="4" showAll="0"/>
    <pivotField numFmtId="4" showAll="0"/>
    <pivotField numFmtId="4" showAll="0"/>
    <pivotField numFmtId="4" showAll="0"/>
    <pivotField numFmtId="4" showAll="0"/>
    <pivotField dataField="1" numFmtId="4" showAll="0"/>
    <pivotField numFmtId="4" showAll="0"/>
    <pivotField dataField="1" numFmtId="4" showAll="0"/>
    <pivotField numFmtId="4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Взносы" fld="9" baseField="0" baseItem="0"/>
    <dataField name="Сумма по полю Фикс" fld="7" baseField="0" baseItem="0"/>
  </dataFields>
  <formats count="6"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0" type="button" dataOnly="0" labelOnly="1" outline="0" axis="axisRow" fieldPosition="0"/>
    </format>
    <format dxfId="94">
      <pivotArea dataOnly="0" labelOnly="1" fieldPosition="0">
        <references count="1">
          <reference field="0" count="0"/>
        </references>
      </pivotArea>
    </format>
    <format dxfId="93">
      <pivotArea dataOnly="0" labelOnly="1" grandRow="1" outline="0" fieldPosition="0"/>
    </format>
    <format dxfId="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4882F4-0ECD-445F-A0F1-A4464E579FAD}" name="Сводная таблица1" cacheId="9" applyNumberFormats="0" applyBorderFormats="0" applyFontFormats="0" applyPatternFormats="0" applyAlignmentFormats="0" applyWidthHeightFormats="1" dataCaption="Значения" showError="1" updatedVersion="6" minRefreshableVersion="3" useAutoFormatting="1" itemPrintTitles="1" mergeItem="1" createdVersion="6" indent="0" outline="1" outlineData="1" multipleFieldFilters="0" chartFormat="5">
  <location ref="M8:Q15" firstHeaderRow="0" firstDataRow="1" firstDataCol="1"/>
  <pivotFields count="7">
    <pivotField numFmtId="4" showAll="0"/>
    <pivotField axis="axisRow" numFmtId="4" showAll="0">
      <items count="7">
        <item x="0"/>
        <item x="1"/>
        <item x="2"/>
        <item x="3"/>
        <item x="4"/>
        <item x="5"/>
        <item t="default"/>
      </items>
    </pivotField>
    <pivotField numFmtId="14" showAll="0"/>
    <pivotField dataField="1" numFmtId="4" showAll="0">
      <items count="3">
        <item x="1"/>
        <item x="0"/>
        <item t="default"/>
      </items>
    </pivotField>
    <pivotField dataField="1" numFmtId="4" showAll="0">
      <items count="3">
        <item x="1"/>
        <item x="0"/>
        <item t="default"/>
      </items>
    </pivotField>
    <pivotField dataField="1" numFmtId="4" showAll="0">
      <items count="3">
        <item x="1"/>
        <item x="0"/>
        <item t="default"/>
      </items>
    </pivotField>
    <pivotField dataField="1" numFmtId="4" showAll="0">
      <items count="3">
        <item x="1"/>
        <item x="0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по полю АХО" fld="3" baseField="0" baseItem="0"/>
    <dataField name="Сумма по полю Аренда" fld="4" baseField="0" baseItem="0"/>
    <dataField name="Сумма по полю Расходы на производство" fld="5" baseField="0" baseItem="0"/>
    <dataField name="Сумма по полю Реклама и маркетинг" fld="6" baseField="0" baseItem="0"/>
  </dataFields>
  <formats count="7">
    <format dxfId="88">
      <pivotArea type="all" dataOnly="0" outline="0" fieldPosition="0"/>
    </format>
    <format dxfId="87">
      <pivotArea outline="0" collapsedLevelsAreSubtotals="1" fieldPosition="0"/>
    </format>
    <format dxfId="86">
      <pivotArea field="1" type="button" dataOnly="0" labelOnly="1" outline="0" axis="axisRow" fieldPosition="0"/>
    </format>
    <format dxfId="85">
      <pivotArea dataOnly="0" labelOnly="1" fieldPosition="0">
        <references count="1">
          <reference field="1" count="0"/>
        </references>
      </pivotArea>
    </format>
    <format dxfId="84">
      <pivotArea dataOnly="0" labelOnly="1" grandRow="1" outline="0" fieldPosition="0"/>
    </format>
    <format dxfId="8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2">
      <pivotArea dataOnly="0" labelOnly="1" fieldPosition="0">
        <references count="1">
          <reference field="1" count="0"/>
        </references>
      </pivotArea>
    </format>
  </formats>
  <chartFormats count="4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Сводная таблица2" cacheId="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Z5:AD12" firstHeaderRow="0" firstDataRow="1" firstDataCol="1"/>
  <pivotFields count="15">
    <pivotField subtotalTop="0" showAll="0"/>
    <pivotField subtotalTop="0" showAll="0"/>
    <pivotField axis="axisRow" subtotalTop="0" showAll="0">
      <items count="7">
        <item x="0"/>
        <item x="1"/>
        <item x="2"/>
        <item x="3"/>
        <item x="4"/>
        <item x="5"/>
        <item t="default"/>
      </items>
    </pivotField>
    <pivotField numFmtId="14" subtotalTop="0" showAll="0"/>
    <pivotField subtotalTop="0" showAll="0"/>
    <pivotField numFmtId="9" subtotalTop="0" showAll="0"/>
    <pivotField subtotalTop="0" showAll="0"/>
    <pivotField subtotalTop="0" showAll="0"/>
    <pivotField subtotalTop="0" showAll="0"/>
    <pivotField dataField="1" numFmtId="3" subtotalTop="0" showAll="0">
      <items count="13">
        <item x="0"/>
        <item x="1"/>
        <item x="2"/>
        <item x="3"/>
        <item x="4"/>
        <item x="9"/>
        <item x="5"/>
        <item x="10"/>
        <item x="6"/>
        <item x="7"/>
        <item x="8"/>
        <item x="11"/>
        <item t="default"/>
      </items>
    </pivotField>
    <pivotField dataField="1" numFmtId="3" subtotalTop="0" showAll="0">
      <items count="6">
        <item x="0"/>
        <item x="1"/>
        <item x="2"/>
        <item x="3"/>
        <item x="4"/>
        <item t="default"/>
      </items>
    </pivotField>
    <pivotField dataField="1" numFmtId="3" subtotalTop="0" showAll="0"/>
    <pivotField dataField="1" numFmtId="3" subtotalTop="0" showAll="0"/>
    <pivotField numFmtId="3" subtotalTop="0" showAll="0"/>
    <pivotField numFmtId="4" subtotalTop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по полю Итого:" fld="9" baseField="0" baseItem="0" numFmtId="4"/>
    <dataField name="Выручка Салон 1" fld="10" baseField="2" baseItem="0"/>
    <dataField name="Выручка Имидж-Салон" fld="11" baseField="2" baseItem="0"/>
    <dataField name="Выручка Салон 2" fld="12" baseField="2" baseItem="0"/>
  </dataFields>
  <formats count="22">
    <format dxfId="81">
      <pivotArea type="all" dataOnly="0" outline="0" fieldPosition="0"/>
    </format>
    <format dxfId="80">
      <pivotArea outline="0" collapsedLevelsAreSubtotals="1" fieldPosition="0"/>
    </format>
    <format dxfId="79">
      <pivotArea field="2" type="button" dataOnly="0" labelOnly="1" outline="0" axis="axisRow" fieldPosition="0"/>
    </format>
    <format dxfId="78">
      <pivotArea dataOnly="0" labelOnly="1" outline="0" axis="axisValues" fieldPosition="0"/>
    </format>
    <format dxfId="77">
      <pivotArea dataOnly="0" labelOnly="1" fieldPosition="0">
        <references count="1">
          <reference field="2" count="0"/>
        </references>
      </pivotArea>
    </format>
    <format dxfId="76">
      <pivotArea dataOnly="0" labelOnly="1" grandRow="1" outline="0" fieldPosition="0"/>
    </format>
    <format dxfId="75">
      <pivotArea dataOnly="0" labelOnly="1" outline="0" axis="axisValues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2" type="button" dataOnly="0" labelOnly="1" outline="0" axis="axisRow" fieldPosition="0"/>
    </format>
    <format dxfId="71">
      <pivotArea dataOnly="0" labelOnly="1" outline="0" axis="axisValues" fieldPosition="0"/>
    </format>
    <format dxfId="70">
      <pivotArea dataOnly="0" labelOnly="1" fieldPosition="0">
        <references count="1">
          <reference field="2" count="0"/>
        </references>
      </pivotArea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2" type="button" dataOnly="0" labelOnly="1" outline="0" axis="axisRow" fieldPosition="0"/>
    </format>
    <format dxfId="64">
      <pivotArea dataOnly="0" labelOnly="1" fieldPosition="0">
        <references count="1">
          <reference field="2" count="0"/>
        </references>
      </pivotArea>
    </format>
    <format dxfId="63">
      <pivotArea dataOnly="0" labelOnly="1" grandRow="1" outline="0" fieldPosition="0"/>
    </format>
    <format dxfId="6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1">
      <pivotArea field="2" type="button" dataOnly="0" labelOnly="1" outline="0" axis="axisRow" fieldPosition="0"/>
    </format>
    <format dxfId="6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AE0539-914A-4342-BBA8-624A81DE3BCC}" name="Сводная таблица2" cacheId="10" applyNumberFormats="0" applyBorderFormats="0" applyFontFormats="0" applyPatternFormats="0" applyAlignmentFormats="0" applyWidthHeightFormats="1" dataCaption="Значения" updatedVersion="6" minRefreshableVersion="3" itemPrintTitles="1" createdVersion="6" indent="0" outline="1" outlineData="1" multipleFieldFilters="0" chartFormat="3">
  <location ref="V6:W13" firstHeaderRow="1" firstDataRow="1" firstDataCol="1"/>
  <pivotFields count="14">
    <pivotField subtotalTop="0" showAll="0"/>
    <pivotField subtotalTop="0" showAll="0"/>
    <pivotField axis="axisRow" subtotalTop="0" showAll="0">
      <items count="7">
        <item x="0"/>
        <item x="1"/>
        <item x="2"/>
        <item x="3"/>
        <item x="4"/>
        <item x="5"/>
        <item t="default"/>
      </items>
    </pivotField>
    <pivotField numFmtId="14" subtotalTop="0" showAll="0"/>
    <pivotField subtotalTop="0" showAll="0"/>
    <pivotField numFmtId="9" subtotalTop="0" showAll="0"/>
    <pivotField subtotalTop="0" showAll="0"/>
    <pivotField subtotalTop="0" showAll="0"/>
    <pivotField subtotalTop="0" showAll="0"/>
    <pivotField dataField="1" numFmtId="3" subtotalTop="0" showAll="0"/>
    <pivotField numFmtId="4" showAll="0"/>
    <pivotField numFmtId="4" showAll="0"/>
    <pivotField numFmtId="4" showAll="0"/>
    <pivotField numFmtId="4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Сумма по полю Итого:" fld="9" baseField="0" baseItem="0" numFmtId="4"/>
  </dataFields>
  <formats count="22"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2" type="button" dataOnly="0" labelOnly="1" outline="0" axis="axisRow" fieldPosition="0"/>
    </format>
    <format dxfId="56">
      <pivotArea dataOnly="0" labelOnly="1" outline="0" axis="axisValues" fieldPosition="0"/>
    </format>
    <format dxfId="55">
      <pivotArea dataOnly="0" labelOnly="1" fieldPosition="0">
        <references count="1">
          <reference field="2" count="0"/>
        </references>
      </pivotArea>
    </format>
    <format dxfId="54">
      <pivotArea dataOnly="0" labelOnly="1" grandRow="1" outline="0" fieldPosition="0"/>
    </format>
    <format dxfId="53">
      <pivotArea dataOnly="0" labelOnly="1" outline="0" axis="axisValues" fieldPosition="0"/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2" type="button" dataOnly="0" labelOnly="1" outline="0" axis="axisRow" fieldPosition="0"/>
    </format>
    <format dxfId="49">
      <pivotArea dataOnly="0" labelOnly="1" outline="0" axis="axisValues" fieldPosition="0"/>
    </format>
    <format dxfId="48">
      <pivotArea dataOnly="0" labelOnly="1" fieldPosition="0">
        <references count="1">
          <reference field="2" count="0"/>
        </references>
      </pivotArea>
    </format>
    <format dxfId="47">
      <pivotArea dataOnly="0" labelOnly="1" grandRow="1" outline="0" fieldPosition="0"/>
    </format>
    <format dxfId="46">
      <pivotArea dataOnly="0" labelOnly="1" outline="0" axis="axisValues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2" type="button" dataOnly="0" labelOnly="1" outline="0" axis="axisRow" fieldPosition="0"/>
    </format>
    <format dxfId="42">
      <pivotArea dataOnly="0" labelOnly="1" fieldPosition="0">
        <references count="1">
          <reference field="2" count="0"/>
        </references>
      </pivotArea>
    </format>
    <format dxfId="41">
      <pivotArea dataOnly="0" labelOnly="1" grandRow="1" outline="0" fieldPosition="0"/>
    </format>
    <format dxfId="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">
      <pivotArea field="2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Сводная таблица1" cacheId="6" applyNumberFormats="0" applyBorderFormats="0" applyFontFormats="0" applyPatternFormats="0" applyAlignmentFormats="0" applyWidthHeightFormats="1" dataCaption="Значения" showError="1" updatedVersion="6" minRefreshableVersion="3" itemPrintTitles="1" createdVersion="6" indent="0" outline="1" outlineData="1" multipleFieldFilters="0" chartFormat="18">
  <location ref="K5:N13" firstHeaderRow="0" firstDataRow="1" firstDataCol="1"/>
  <pivotFields count="6">
    <pivotField numFmtId="4" subtotalTop="0" showAll="0"/>
    <pivotField axis="axisRow" numFmtId="4" subtotalTop="0" showAll="0">
      <items count="8">
        <item x="6"/>
        <item x="0"/>
        <item x="1"/>
        <item x="2"/>
        <item x="3"/>
        <item x="4"/>
        <item x="5"/>
        <item t="default"/>
      </items>
    </pivotField>
    <pivotField dataField="1" numFmtId="4" subtotalTop="0" showAll="0">
      <items count="3">
        <item x="0"/>
        <item x="1"/>
        <item t="default"/>
      </items>
    </pivotField>
    <pivotField dataField="1" numFmtId="4" subtotalTop="0" showAll="0">
      <items count="3">
        <item x="0"/>
        <item x="1"/>
        <item t="default"/>
      </items>
    </pivotField>
    <pivotField dataField="1" numFmtId="4" subtotalTop="0" showAll="0">
      <items count="3">
        <item x="0"/>
        <item x="1"/>
        <item t="default"/>
      </items>
    </pivotField>
    <pivotField subtotalTop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умма по полю Салон 1" fld="2" baseField="0" baseItem="0"/>
    <dataField name="Сумма по полю Имидж салон" fld="3" baseField="0" baseItem="0"/>
    <dataField name="Сумма по полю Салон 2" fld="4" baseField="0" baseItem="0"/>
  </dataFields>
  <formats count="18"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1" type="button" dataOnly="0" labelOnly="1" outline="0" axis="axisRow" fieldPosition="0"/>
    </format>
    <format dxfId="34">
      <pivotArea dataOnly="0" labelOnly="1" fieldPosition="0">
        <references count="1">
          <reference field="1" count="0"/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1" type="button" dataOnly="0" labelOnly="1" outline="0" axis="axisRow" fieldPosition="0"/>
    </format>
    <format dxfId="28">
      <pivotArea dataOnly="0" labelOnly="1" fieldPosition="0">
        <references count="1">
          <reference field="1" count="0"/>
        </references>
      </pivotArea>
    </format>
    <format dxfId="27">
      <pivotArea dataOnly="0" labelOnly="1" grandRow="1" outline="0" fieldPosition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1" type="button" dataOnly="0" labelOnly="1" outline="0" axis="axisRow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3"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Сводная таблица3" cacheId="8" applyNumberFormats="0" applyBorderFormats="0" applyFontFormats="0" applyPatternFormats="0" applyAlignmentFormats="0" applyWidthHeightFormats="1" dataCaption="Значения" updatedVersion="6" minRefreshableVersion="3" itemPrintTitles="1" createdVersion="6" indent="0" outline="1" outlineData="1" multipleFieldFilters="0" chartFormat="10">
  <location ref="AC7:AE14" firstHeaderRow="0" firstDataRow="1" firstDataCol="1"/>
  <pivotFields count="21">
    <pivotField numFmtId="4" subtotalTop="0" showAll="0"/>
    <pivotField numFmtId="4" subtotalTop="0" showAll="0"/>
    <pivotField axis="axisRow" numFmtId="4" subtotalTop="0" showAll="0">
      <items count="7">
        <item x="0"/>
        <item x="1"/>
        <item x="2"/>
        <item x="3"/>
        <item x="4"/>
        <item x="5"/>
        <item t="default"/>
      </items>
    </pivotField>
    <pivotField numFmtId="4" subtotalTop="0" showAll="0"/>
    <pivotField subtotalTop="0" showAll="0"/>
    <pivotField numFmtId="4" showAll="0"/>
    <pivotField numFmtId="4" subtotalTop="0" showAll="0"/>
    <pivotField numFmtId="4" subtotalTop="0" showAll="0"/>
    <pivotField numFmtId="4" subtotalTop="0" showAll="0"/>
    <pivotField numFmtId="4" subtotalTop="0" showAll="0"/>
    <pivotField numFmtId="4" subtotalTop="0" showAll="0"/>
    <pivotField numFmtId="4" subtotalTop="0" showAll="0"/>
    <pivotField numFmtId="4" subtotalTop="0" showAll="0"/>
    <pivotField numFmtId="4" subtotalTop="0" showAll="0"/>
    <pivotField numFmtId="4" subtotalTop="0" showAll="0"/>
    <pivotField numFmtId="4" subtotalTop="0" showAll="0"/>
    <pivotField numFmtId="4" subtotalTop="0" showAll="0"/>
    <pivotField numFmtId="4" subtotalTop="0" showAll="0"/>
    <pivotField dataField="1" numFmtId="4" subtotalTop="0" showAll="0"/>
    <pivotField numFmtId="4" subtotalTop="0" showAll="0"/>
    <pivotField dataField="1" dragToRow="0" dragToCol="0" dragToPage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% от выручки (скидка 1 посещение)" fld="20" baseField="0" baseItem="0" numFmtId="9"/>
    <dataField name="Сумма по полю Скидка за 1 посещение" fld="18" baseField="0" baseItem="0"/>
  </dataFields>
  <formats count="20"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2" type="button" dataOnly="0" labelOnly="1" outline="0" axis="axisRow" fieldPosition="0"/>
    </format>
    <format dxfId="11">
      <pivotArea dataOnly="0" labelOnly="1" outline="0" axis="axisValues" fieldPosition="0"/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2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2"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равочник.Сценарии" displayName="Справочник.Сценарии" ref="G23:I26" totalsRowShown="0" headerRowDxfId="102" dataDxfId="101" headerRowCellStyle="Заголовок таблицы" dataCellStyle="СтрокаТаблицы">
  <autoFilter ref="G23:I26" xr:uid="{00000000-0009-0000-0100-000001000000}"/>
  <tableColumns count="3">
    <tableColumn id="1" xr3:uid="{00000000-0010-0000-0000-000001000000}" name="Справочник.Сценарии" dataDxfId="100" dataCellStyle="СтрокаТаблицы"/>
    <tableColumn id="2" xr3:uid="{00000000-0010-0000-0000-000002000000}" name="К-т сценария" dataDxfId="99" dataCellStyle="СтрокаТаблицы"/>
    <tableColumn id="3" xr3:uid="{00000000-0010-0000-0000-000003000000}" name="Столбец1" dataDxfId="98" dataCellStyle="СтрокаТаблицы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400ADB0-8C58-4AFA-AB01-7CD1BD10267E}" name="Таблица3" displayName="Таблица3" ref="L3:L8" totalsRowShown="0" headerRowDxfId="91" dataDxfId="90">
  <autoFilter ref="L3:L8" xr:uid="{D34D5A32-F187-470B-86DC-04CF97D5026C}"/>
  <tableColumns count="1">
    <tableColumn id="1" xr3:uid="{A2ED2185-6AA1-4485-9E8B-2B706A2E3370}" name="Группа постоянных затрат" dataDxfId="8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2" displayName="Таблица2" ref="K6:K11" totalsRowShown="0" headerRowCellStyle="Заголовок таблицы" dataCellStyle="СтрокаТаблицы">
  <autoFilter ref="K6:K11" xr:uid="{00000000-0009-0000-0100-000002000000}"/>
  <tableColumns count="1">
    <tableColumn id="1" xr3:uid="{00000000-0010-0000-0100-000001000000}" name="Справочник.События" dataCellStyle="СтрокаТаблицы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3.xml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4.xml"/><Relationship Id="rId4" Type="http://schemas.openxmlformats.org/officeDocument/2006/relationships/comments" Target="../comments6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5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Z95"/>
  <sheetViews>
    <sheetView zoomScale="90" zoomScaleNormal="90" workbookViewId="0">
      <selection activeCell="F13" sqref="F13"/>
    </sheetView>
  </sheetViews>
  <sheetFormatPr defaultRowHeight="15" x14ac:dyDescent="0.25"/>
  <cols>
    <col min="1" max="1" width="4.28515625" customWidth="1"/>
    <col min="2" max="2" width="39.28515625" bestFit="1" customWidth="1"/>
    <col min="3" max="3" width="1.85546875" customWidth="1"/>
    <col min="4" max="4" width="19.42578125" bestFit="1" customWidth="1"/>
    <col min="5" max="5" width="1.85546875" customWidth="1"/>
    <col min="6" max="6" width="29.140625" bestFit="1" customWidth="1"/>
    <col min="7" max="7" width="2.140625" customWidth="1"/>
    <col min="9" max="9" width="17" bestFit="1" customWidth="1"/>
    <col min="10" max="10" width="39.5703125" customWidth="1"/>
  </cols>
  <sheetData>
    <row r="1" spans="1:52" ht="21" x14ac:dyDescent="0.35">
      <c r="A1" s="1"/>
      <c r="B1" s="43" t="s">
        <v>200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8.25" customHeight="1" x14ac:dyDescent="0.35">
      <c r="A2" s="1"/>
      <c r="B2" s="95"/>
      <c r="C2" s="95"/>
      <c r="D2" s="95"/>
      <c r="E2" s="95"/>
      <c r="F2" s="95"/>
      <c r="G2" s="95"/>
      <c r="H2" s="95"/>
      <c r="I2" s="95"/>
      <c r="J2" s="9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6.5" thickTop="1" thickBot="1" x14ac:dyDescent="0.3">
      <c r="A4" s="1"/>
      <c r="B4" s="26" t="s">
        <v>144</v>
      </c>
      <c r="C4" s="1"/>
      <c r="D4" s="64" t="s">
        <v>121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6.5" thickTop="1" x14ac:dyDescent="0.25">
      <c r="A5" s="1"/>
      <c r="B5" s="2" t="s">
        <v>120</v>
      </c>
      <c r="C5" s="2"/>
      <c r="D5" s="63">
        <f>СтавкаДисконт</f>
        <v>0.2</v>
      </c>
      <c r="E5" s="2"/>
      <c r="F5" s="1"/>
      <c r="G5" s="3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.75" x14ac:dyDescent="0.25">
      <c r="A6" s="1"/>
      <c r="B6" s="2" t="s">
        <v>122</v>
      </c>
      <c r="C6" s="2"/>
      <c r="D6" s="131">
        <f>ДатаНачала</f>
        <v>43132</v>
      </c>
      <c r="E6" s="2"/>
      <c r="F6" s="64"/>
      <c r="G6" s="3"/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1"/>
      <c r="B7" s="2" t="s">
        <v>123</v>
      </c>
      <c r="C7" s="2"/>
      <c r="D7" s="132">
        <f>Настройки!$I$5</f>
        <v>5</v>
      </c>
      <c r="E7" s="2"/>
      <c r="F7" s="6"/>
      <c r="G7" s="3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6.5" thickBot="1" x14ac:dyDescent="0.3">
      <c r="A8" s="1"/>
      <c r="B8" s="2"/>
      <c r="C8" s="2"/>
      <c r="D8" s="2"/>
      <c r="E8" s="2"/>
      <c r="F8" s="7"/>
      <c r="G8" s="3"/>
      <c r="H8" s="4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7.25" thickTop="1" thickBot="1" x14ac:dyDescent="0.3">
      <c r="A9" s="1"/>
      <c r="B9" s="25" t="s">
        <v>124</v>
      </c>
      <c r="C9" s="8"/>
      <c r="D9" s="25" t="s">
        <v>125</v>
      </c>
      <c r="E9" s="8"/>
      <c r="F9" s="25" t="s">
        <v>126</v>
      </c>
      <c r="G9" s="9"/>
      <c r="H9" s="253" t="s">
        <v>127</v>
      </c>
      <c r="I9" s="253"/>
      <c r="J9" s="25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27" thickTop="1" x14ac:dyDescent="0.4">
      <c r="A10" s="1"/>
      <c r="B10" s="10"/>
      <c r="C10" s="10"/>
      <c r="D10" s="10"/>
      <c r="E10" s="10"/>
      <c r="F10" s="11"/>
      <c r="G10" s="9"/>
      <c r="H10" s="12"/>
      <c r="I10" s="12"/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x14ac:dyDescent="0.25">
      <c r="A11" s="1"/>
      <c r="B11" s="13" t="s">
        <v>128</v>
      </c>
      <c r="C11" s="14"/>
      <c r="D11" s="15" t="s">
        <v>129</v>
      </c>
      <c r="E11" s="14"/>
      <c r="F11" s="16">
        <f>'Заёмные средства'!$C$8</f>
        <v>5500000</v>
      </c>
      <c r="G11" s="17"/>
      <c r="H11" s="18" t="s">
        <v>130</v>
      </c>
      <c r="I11" s="15" t="s">
        <v>130</v>
      </c>
      <c r="J11" s="15" t="s">
        <v>130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x14ac:dyDescent="0.25">
      <c r="A12" s="1"/>
      <c r="B12" s="19" t="s">
        <v>183</v>
      </c>
      <c r="C12" s="14"/>
      <c r="D12" s="19" t="s">
        <v>131</v>
      </c>
      <c r="E12" s="14"/>
      <c r="F12" s="232">
        <f>Расчёт.Окупаемости!$E$4</f>
        <v>15</v>
      </c>
      <c r="G12" s="17"/>
      <c r="H12" s="15"/>
      <c r="I12" s="13"/>
      <c r="J12" s="1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 x14ac:dyDescent="0.25">
      <c r="A13" s="1"/>
      <c r="B13" s="20" t="s">
        <v>132</v>
      </c>
      <c r="C13" s="21"/>
      <c r="D13" s="20" t="s">
        <v>133</v>
      </c>
      <c r="E13" s="21"/>
      <c r="F13" s="23">
        <f>IRR(ДДС!C32:I32)</f>
        <v>0.84718626330102809</v>
      </c>
      <c r="G13" s="22"/>
      <c r="H13" s="15" t="s">
        <v>217</v>
      </c>
      <c r="I13" s="13"/>
      <c r="J13" s="1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 x14ac:dyDescent="0.25">
      <c r="A14" s="1"/>
      <c r="B14" s="20" t="s">
        <v>134</v>
      </c>
      <c r="C14" s="21"/>
      <c r="D14" s="20" t="s">
        <v>135</v>
      </c>
      <c r="E14" s="21"/>
      <c r="F14" s="24">
        <f>SUM(ДДС!C32:I32)</f>
        <v>16568922.688303303</v>
      </c>
      <c r="G14" s="22"/>
      <c r="H14" s="15" t="s">
        <v>217</v>
      </c>
      <c r="I14" s="13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</sheetData>
  <mergeCells count="1">
    <mergeCell ref="H9:J9"/>
  </mergeCells>
  <conditionalFormatting sqref="F13">
    <cfRule type="expression" dxfId="107" priority="5">
      <formula>#REF!&gt;$F$9</formula>
    </cfRule>
    <cfRule type="expression" dxfId="106" priority="6">
      <formula>#REF!&lt;$F$9</formula>
    </cfRule>
  </conditionalFormatting>
  <conditionalFormatting sqref="F14">
    <cfRule type="cellIs" dxfId="105" priority="2" operator="greaterThan">
      <formula>1</formula>
    </cfRule>
    <cfRule type="cellIs" dxfId="104" priority="3" operator="between">
      <formula>0</formula>
      <formula>1</formula>
    </cfRule>
    <cfRule type="cellIs" dxfId="103" priority="4" operator="lessThan">
      <formula>#REF!&lt;0</formula>
    </cfRule>
  </conditionalFormatting>
  <hyperlinks>
    <hyperlink ref="D4" location="Настройки!A1" display="изменить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C1:Q34"/>
  <sheetViews>
    <sheetView zoomScale="95" zoomScaleNormal="95" workbookViewId="0">
      <selection activeCell="G16" sqref="G16"/>
    </sheetView>
  </sheetViews>
  <sheetFormatPr defaultRowHeight="15" x14ac:dyDescent="0.25"/>
  <cols>
    <col min="1" max="1" width="9.140625" style="1"/>
    <col min="2" max="2" width="5.85546875" style="1" customWidth="1"/>
    <col min="3" max="3" width="27.42578125" style="1" customWidth="1"/>
    <col min="4" max="4" width="21.85546875" style="1" bestFit="1" customWidth="1"/>
    <col min="5" max="6" width="18" style="1" bestFit="1" customWidth="1"/>
    <col min="7" max="7" width="19.28515625" style="1" bestFit="1" customWidth="1"/>
    <col min="8" max="8" width="25.140625" style="1" bestFit="1" customWidth="1"/>
    <col min="9" max="9" width="26.7109375" style="1" bestFit="1" customWidth="1"/>
    <col min="10" max="10" width="5.28515625" style="1" customWidth="1"/>
    <col min="11" max="11" width="16.85546875" style="1" bestFit="1" customWidth="1"/>
    <col min="12" max="12" width="15.5703125" style="1" customWidth="1"/>
    <col min="13" max="13" width="10.42578125" style="1" customWidth="1"/>
    <col min="14" max="14" width="11.7109375" style="1" customWidth="1"/>
    <col min="15" max="16" width="16" style="1" customWidth="1"/>
    <col min="17" max="17" width="26.28515625" style="1" bestFit="1" customWidth="1"/>
    <col min="18" max="18" width="18.140625" style="1" customWidth="1"/>
    <col min="19" max="19" width="9.42578125" style="1" customWidth="1"/>
    <col min="20" max="20" width="13.7109375" style="1" bestFit="1" customWidth="1"/>
    <col min="21" max="21" width="14.28515625" style="1" bestFit="1" customWidth="1"/>
    <col min="22" max="22" width="14.5703125" style="1" bestFit="1" customWidth="1"/>
    <col min="23" max="23" width="20.5703125" style="1" bestFit="1" customWidth="1"/>
    <col min="24" max="16384" width="9.140625" style="1"/>
  </cols>
  <sheetData>
    <row r="1" spans="3:9" ht="21" x14ac:dyDescent="0.35">
      <c r="C1" s="43" t="s">
        <v>162</v>
      </c>
    </row>
    <row r="2" spans="3:9" ht="9.75" customHeight="1" x14ac:dyDescent="0.35">
      <c r="C2" s="92"/>
      <c r="D2" s="92"/>
      <c r="E2" s="92"/>
      <c r="F2" s="92"/>
      <c r="G2" s="92"/>
      <c r="H2" s="92"/>
      <c r="I2" s="92"/>
    </row>
    <row r="5" spans="3:9" ht="15.75" x14ac:dyDescent="0.25">
      <c r="C5" s="142" t="s">
        <v>44</v>
      </c>
      <c r="D5" s="143">
        <f>D12/F20</f>
        <v>7.9518072289156629</v>
      </c>
    </row>
    <row r="6" spans="3:9" ht="15.75" x14ac:dyDescent="0.25">
      <c r="C6" s="79"/>
      <c r="D6" s="88"/>
    </row>
    <row r="7" spans="3:9" ht="21.75" customHeight="1" x14ac:dyDescent="0.25">
      <c r="C7" s="103" t="s">
        <v>158</v>
      </c>
      <c r="D7" s="104">
        <f>$D$5*INDEX(Коэф_Сценария,MATCH(Нстр_Сценарий,Сценарии,0),1)</f>
        <v>7.9518072289156629</v>
      </c>
    </row>
    <row r="8" spans="3:9" x14ac:dyDescent="0.25">
      <c r="C8" s="71"/>
    </row>
    <row r="9" spans="3:9" ht="15.75" x14ac:dyDescent="0.25">
      <c r="C9" s="83" t="s">
        <v>157</v>
      </c>
      <c r="D9" s="85">
        <f>G20</f>
        <v>2163</v>
      </c>
    </row>
    <row r="10" spans="3:9" ht="15.75" x14ac:dyDescent="0.25">
      <c r="C10" s="83" t="s">
        <v>166</v>
      </c>
      <c r="D10" s="85">
        <f>$I$20</f>
        <v>1240.3200000000002</v>
      </c>
    </row>
    <row r="11" spans="3:9" ht="15.75" x14ac:dyDescent="0.25">
      <c r="C11" s="91" t="s">
        <v>159</v>
      </c>
      <c r="D11" s="90">
        <f>I20/G20</f>
        <v>0.57342579750346745</v>
      </c>
    </row>
    <row r="12" spans="3:9" ht="30" x14ac:dyDescent="0.25">
      <c r="C12" s="83" t="s">
        <v>42</v>
      </c>
      <c r="D12" s="85">
        <f>H27/G27</f>
        <v>11</v>
      </c>
    </row>
    <row r="14" spans="3:9" ht="15.75" thickBot="1" x14ac:dyDescent="0.3"/>
    <row r="15" spans="3:9" ht="16.5" thickTop="1" thickBot="1" x14ac:dyDescent="0.3">
      <c r="C15" s="26" t="s">
        <v>22</v>
      </c>
      <c r="D15" s="26" t="s">
        <v>24</v>
      </c>
      <c r="E15" s="26" t="s">
        <v>86</v>
      </c>
      <c r="F15" s="26" t="s">
        <v>87</v>
      </c>
      <c r="G15" s="26" t="s">
        <v>88</v>
      </c>
      <c r="H15" s="26" t="s">
        <v>89</v>
      </c>
      <c r="I15" s="26" t="s">
        <v>90</v>
      </c>
    </row>
    <row r="16" spans="3:9" ht="15.75" thickTop="1" x14ac:dyDescent="0.25">
      <c r="C16" s="67" t="s">
        <v>18</v>
      </c>
      <c r="D16" s="67">
        <f>INDEX('Услуги и цены'!$H$24:$H$28,MATCH(C16,'Услуги и цены'!$G$24:$G$28,0),1)</f>
        <v>1</v>
      </c>
      <c r="E16" s="78">
        <f>INDEX('Услуги и цены'!$C$25:$C$28,MATCH(C16,'Услуги и цены'!$B$25:$B$28,0),1)</f>
        <v>0.4</v>
      </c>
      <c r="F16" s="67">
        <f>D16*E16</f>
        <v>0.4</v>
      </c>
      <c r="G16" s="67">
        <f>E16*'Услуги и цены'!C9</f>
        <v>636</v>
      </c>
      <c r="H16" s="67">
        <f>'Услуги и цены'!D9*E16</f>
        <v>266.56</v>
      </c>
      <c r="I16" s="67">
        <f>G16-H16</f>
        <v>369.44</v>
      </c>
    </row>
    <row r="17" spans="3:9" x14ac:dyDescent="0.25">
      <c r="C17" s="67" t="s">
        <v>19</v>
      </c>
      <c r="D17" s="67">
        <f>INDEX('Услуги и цены'!$H$24:$H$28,MATCH(C17,'Услуги и цены'!$G$24:$G$28,0),1)</f>
        <v>1.1666666666666667</v>
      </c>
      <c r="E17" s="78">
        <f>INDEX('Услуги и цены'!$C$25:$C$28,MATCH(C17,'Услуги и цены'!$B$25:$B$28,0),1)</f>
        <v>0.2</v>
      </c>
      <c r="F17" s="67">
        <f t="shared" ref="F17:F19" si="0">D17*E17</f>
        <v>0.23333333333333336</v>
      </c>
      <c r="G17" s="67">
        <f>E17*'Услуги и цены'!C10</f>
        <v>498</v>
      </c>
      <c r="H17" s="67">
        <f>'Услуги и цены'!D10*E17</f>
        <v>240.48000000000002</v>
      </c>
      <c r="I17" s="67">
        <f t="shared" ref="I17:I19" si="1">G17-H17</f>
        <v>257.52</v>
      </c>
    </row>
    <row r="18" spans="3:9" x14ac:dyDescent="0.25">
      <c r="C18" s="67" t="s">
        <v>20</v>
      </c>
      <c r="D18" s="67">
        <f>INDEX('Услуги и цены'!$H$24:$H$28,MATCH(C18,'Услуги и цены'!$G$24:$G$28,0),1)</f>
        <v>1.5</v>
      </c>
      <c r="E18" s="78">
        <f>INDEX('Услуги и цены'!$C$25:$C$28,MATCH(C18,'Услуги и цены'!$B$25:$B$28,0),1)</f>
        <v>0.1</v>
      </c>
      <c r="F18" s="67">
        <f t="shared" si="0"/>
        <v>0.15000000000000002</v>
      </c>
      <c r="G18" s="67">
        <f>E18*'Услуги и цены'!C11</f>
        <v>399</v>
      </c>
      <c r="H18" s="67">
        <f>'Услуги и цены'!D11*E18</f>
        <v>160.64000000000001</v>
      </c>
      <c r="I18" s="67">
        <f t="shared" si="1"/>
        <v>238.35999999999999</v>
      </c>
    </row>
    <row r="19" spans="3:9" ht="15.75" thickBot="1" x14ac:dyDescent="0.3">
      <c r="C19" s="67" t="s">
        <v>21</v>
      </c>
      <c r="D19" s="67">
        <f>INDEX('Услуги и цены'!$H$24:$H$28,MATCH(C19,'Услуги и цены'!$G$24:$G$28,0),1)</f>
        <v>2</v>
      </c>
      <c r="E19" s="78">
        <f>INDEX('Услуги и цены'!$C$25:$C$28,MATCH(C19,'Услуги и цены'!$B$25:$B$28,0),1)</f>
        <v>0.3</v>
      </c>
      <c r="F19" s="67">
        <f t="shared" si="0"/>
        <v>0.6</v>
      </c>
      <c r="G19" s="67">
        <f>E19*'Услуги и цены'!C12</f>
        <v>630</v>
      </c>
      <c r="H19" s="67">
        <f>'Услуги и цены'!D12*E19</f>
        <v>255</v>
      </c>
      <c r="I19" s="67">
        <f t="shared" si="1"/>
        <v>375</v>
      </c>
    </row>
    <row r="20" spans="3:9" ht="16.5" thickTop="1" thickBot="1" x14ac:dyDescent="0.3">
      <c r="C20" s="86"/>
      <c r="D20" s="93">
        <f>SUM(D16:D19)</f>
        <v>5.666666666666667</v>
      </c>
      <c r="E20" s="94">
        <f>SUM(E16:E19)</f>
        <v>1</v>
      </c>
      <c r="F20" s="93">
        <f>SUM(F16:F19)</f>
        <v>1.3833333333333333</v>
      </c>
      <c r="G20" s="86">
        <f>SUM(G16:G19)</f>
        <v>2163</v>
      </c>
      <c r="H20" s="86">
        <f t="shared" ref="H20:I20" si="2">SUM(H16:H19)</f>
        <v>922.68000000000006</v>
      </c>
      <c r="I20" s="86">
        <f t="shared" si="2"/>
        <v>1240.3200000000002</v>
      </c>
    </row>
    <row r="21" spans="3:9" ht="15.75" thickTop="1" x14ac:dyDescent="0.25"/>
    <row r="22" spans="3:9" ht="15.75" thickBot="1" x14ac:dyDescent="0.3"/>
    <row r="23" spans="3:9" ht="16.5" thickTop="1" thickBot="1" x14ac:dyDescent="0.3">
      <c r="C23" s="259" t="s">
        <v>156</v>
      </c>
      <c r="D23" s="259" t="s">
        <v>2</v>
      </c>
      <c r="E23" s="259" t="s">
        <v>3</v>
      </c>
      <c r="F23" s="259" t="s">
        <v>4</v>
      </c>
      <c r="G23" s="259" t="s">
        <v>5</v>
      </c>
      <c r="H23" s="26" t="s">
        <v>6</v>
      </c>
    </row>
    <row r="24" spans="3:9" ht="16.5" thickTop="1" thickBot="1" x14ac:dyDescent="0.3">
      <c r="C24" s="260"/>
      <c r="D24" s="260"/>
      <c r="E24" s="260"/>
      <c r="F24" s="260"/>
      <c r="G24" s="260"/>
      <c r="H24" s="26" t="s">
        <v>23</v>
      </c>
    </row>
    <row r="25" spans="3:9" ht="15.75" thickTop="1" x14ac:dyDescent="0.25">
      <c r="C25" s="67" t="s">
        <v>0</v>
      </c>
      <c r="D25" s="139">
        <v>11</v>
      </c>
      <c r="E25" s="139">
        <v>22</v>
      </c>
      <c r="F25" s="87">
        <f>E25-D25</f>
        <v>11</v>
      </c>
      <c r="G25" s="87">
        <v>21</v>
      </c>
      <c r="H25" s="67">
        <f>G25*F25</f>
        <v>231</v>
      </c>
    </row>
    <row r="26" spans="3:9" ht="15.75" thickBot="1" x14ac:dyDescent="0.3">
      <c r="C26" s="67" t="s">
        <v>1</v>
      </c>
      <c r="D26" s="139">
        <v>8</v>
      </c>
      <c r="E26" s="139">
        <v>19</v>
      </c>
      <c r="F26" s="87">
        <f>E26-D26</f>
        <v>11</v>
      </c>
      <c r="G26" s="87">
        <v>8</v>
      </c>
      <c r="H26" s="67">
        <f>G26*F26</f>
        <v>88</v>
      </c>
    </row>
    <row r="27" spans="3:9" ht="31.5" customHeight="1" thickTop="1" thickBot="1" x14ac:dyDescent="0.3">
      <c r="D27" s="26">
        <f t="shared" ref="D27:G27" si="3">SUM(D25:D26)</f>
        <v>19</v>
      </c>
      <c r="E27" s="26">
        <f t="shared" si="3"/>
        <v>41</v>
      </c>
      <c r="F27" s="26">
        <f t="shared" si="3"/>
        <v>22</v>
      </c>
      <c r="G27" s="26">
        <f t="shared" si="3"/>
        <v>29</v>
      </c>
      <c r="H27" s="26">
        <f>SUM(H25:H26)</f>
        <v>319</v>
      </c>
    </row>
    <row r="28" spans="3:9" ht="15.75" thickTop="1" x14ac:dyDescent="0.25"/>
    <row r="33" spans="17:17" x14ac:dyDescent="0.25">
      <c r="Q33" s="79" t="s">
        <v>43</v>
      </c>
    </row>
    <row r="34" spans="17:17" x14ac:dyDescent="0.25">
      <c r="Q34" s="84">
        <v>0.8</v>
      </c>
    </row>
  </sheetData>
  <mergeCells count="5">
    <mergeCell ref="G23:G24"/>
    <mergeCell ref="F23:F24"/>
    <mergeCell ref="E23:E24"/>
    <mergeCell ref="D23:D24"/>
    <mergeCell ref="C23:C2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B1:AD129"/>
  <sheetViews>
    <sheetView topLeftCell="A2" workbookViewId="0">
      <selection activeCell="F19" sqref="F19"/>
    </sheetView>
  </sheetViews>
  <sheetFormatPr defaultRowHeight="15" x14ac:dyDescent="0.25"/>
  <cols>
    <col min="1" max="1" width="9.140625" style="1"/>
    <col min="2" max="2" width="25.5703125" style="1" customWidth="1"/>
    <col min="3" max="3" width="32.140625" style="1" customWidth="1"/>
    <col min="4" max="4" width="14.140625" style="1" bestFit="1" customWidth="1"/>
    <col min="5" max="5" width="18.28515625" style="1" customWidth="1"/>
    <col min="6" max="6" width="21.5703125" style="110" bestFit="1" customWidth="1"/>
    <col min="7" max="7" width="23.140625" style="1" bestFit="1" customWidth="1"/>
    <col min="8" max="8" width="19.28515625" style="1" bestFit="1" customWidth="1"/>
    <col min="9" max="9" width="16" style="1" customWidth="1"/>
    <col min="10" max="10" width="14.5703125" style="1" bestFit="1" customWidth="1"/>
    <col min="11" max="11" width="21.28515625" style="1" bestFit="1" customWidth="1"/>
    <col min="12" max="12" width="24" style="1" bestFit="1" customWidth="1"/>
    <col min="13" max="13" width="16.85546875" style="1" hidden="1" customWidth="1"/>
    <col min="14" max="14" width="9.140625" style="1"/>
    <col min="15" max="15" width="26.5703125" style="1" bestFit="1" customWidth="1"/>
    <col min="16" max="16" width="9.42578125" style="1" bestFit="1" customWidth="1"/>
    <col min="17" max="17" width="10.7109375" style="1" bestFit="1" customWidth="1"/>
    <col min="18" max="18" width="14.42578125" style="1" customWidth="1"/>
    <col min="19" max="19" width="15.28515625" style="1" customWidth="1"/>
    <col min="20" max="20" width="22.28515625" style="1" customWidth="1"/>
    <col min="21" max="21" width="11.28515625" style="1" bestFit="1" customWidth="1"/>
    <col min="22" max="22" width="11.42578125" style="1" bestFit="1" customWidth="1"/>
    <col min="23" max="23" width="14.42578125" style="1" customWidth="1"/>
    <col min="24" max="24" width="9.140625" style="1"/>
    <col min="25" max="25" width="11.28515625" style="1" customWidth="1"/>
    <col min="26" max="26" width="11.28515625" style="1" bestFit="1" customWidth="1"/>
    <col min="27" max="27" width="9.140625" style="1"/>
    <col min="28" max="28" width="17.28515625" style="1" bestFit="1" customWidth="1"/>
    <col min="29" max="29" width="23" style="1" bestFit="1" customWidth="1"/>
    <col min="30" max="30" width="20.7109375" style="1" bestFit="1" customWidth="1"/>
    <col min="31" max="16384" width="9.140625" style="1"/>
  </cols>
  <sheetData>
    <row r="1" spans="2:30" ht="18.75" x14ac:dyDescent="0.3">
      <c r="B1" s="102" t="s">
        <v>203</v>
      </c>
      <c r="O1" s="81" t="s">
        <v>392</v>
      </c>
      <c r="W1" s="81" t="s">
        <v>393</v>
      </c>
    </row>
    <row r="2" spans="2:30" ht="9" customHeight="1" x14ac:dyDescent="0.35">
      <c r="B2" s="95"/>
      <c r="C2" s="95"/>
      <c r="D2" s="95"/>
      <c r="E2" s="95"/>
      <c r="F2" s="121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2:30" ht="19.5" thickBot="1" x14ac:dyDescent="0.35">
      <c r="B3" s="102"/>
      <c r="W3" s="264" t="s">
        <v>421</v>
      </c>
      <c r="X3" s="264"/>
      <c r="Y3" s="264"/>
      <c r="Z3" s="264"/>
    </row>
    <row r="4" spans="2:30" ht="44.25" thickTop="1" thickBot="1" x14ac:dyDescent="0.35">
      <c r="B4" s="102"/>
      <c r="H4" s="261" t="s">
        <v>202</v>
      </c>
      <c r="I4" s="262"/>
      <c r="J4" s="262"/>
      <c r="K4" s="262"/>
      <c r="L4" s="263"/>
      <c r="M4" s="26" t="s">
        <v>65</v>
      </c>
      <c r="O4" s="154" t="s">
        <v>76</v>
      </c>
      <c r="P4" s="154" t="s">
        <v>46</v>
      </c>
      <c r="Q4" s="154" t="s">
        <v>236</v>
      </c>
      <c r="R4" s="154" t="s">
        <v>238</v>
      </c>
      <c r="S4" s="154" t="s">
        <v>239</v>
      </c>
      <c r="T4" s="154" t="s">
        <v>240</v>
      </c>
      <c r="U4" s="154" t="s">
        <v>34</v>
      </c>
      <c r="V4" s="154" t="s">
        <v>85</v>
      </c>
      <c r="W4" s="230" t="s">
        <v>394</v>
      </c>
      <c r="X4" s="230" t="s">
        <v>395</v>
      </c>
      <c r="Y4" s="230" t="s">
        <v>80</v>
      </c>
      <c r="Z4" s="230" t="s">
        <v>85</v>
      </c>
      <c r="AB4" s="227" t="s">
        <v>139</v>
      </c>
      <c r="AC4" s="165" t="s">
        <v>422</v>
      </c>
      <c r="AD4" s="165" t="s">
        <v>423</v>
      </c>
    </row>
    <row r="5" spans="2:30" ht="30.75" customHeight="1" thickTop="1" thickBot="1" x14ac:dyDescent="0.3">
      <c r="B5" s="26" t="s">
        <v>26</v>
      </c>
      <c r="C5" s="26" t="s">
        <v>78</v>
      </c>
      <c r="D5" s="26" t="s">
        <v>31</v>
      </c>
      <c r="E5" s="26" t="s">
        <v>28</v>
      </c>
      <c r="F5" s="100" t="s">
        <v>81</v>
      </c>
      <c r="G5" s="26" t="s">
        <v>77</v>
      </c>
      <c r="H5" s="26" t="s">
        <v>79</v>
      </c>
      <c r="I5" s="154" t="s">
        <v>334</v>
      </c>
      <c r="J5" s="26" t="s">
        <v>80</v>
      </c>
      <c r="K5" s="158" t="s">
        <v>419</v>
      </c>
      <c r="L5" s="221" t="s">
        <v>420</v>
      </c>
      <c r="M5" s="26" t="s">
        <v>201</v>
      </c>
      <c r="O5" s="67">
        <f>'План продаж'!B6</f>
        <v>0</v>
      </c>
      <c r="P5" s="67">
        <f>'План продаж'!D6</f>
        <v>2018</v>
      </c>
      <c r="Q5" s="67">
        <f>SUMIFS($K:$K,$G:$G,"&lt;="&amp;$O5,$E:$E,Q$4)+SUMIFS($L:$L,$G:$G,"&lt;="&amp;$O5,$E:$E,Q$4)</f>
        <v>0</v>
      </c>
      <c r="R5" s="67">
        <f>SUMIFS($K:$K,$G:$G,"&lt;="&amp;$O5,$E:$E,R$4)+SUMIFS($L:$L,$G:$G,"&lt;="&amp;$O5,$E:$E,R$4)</f>
        <v>0</v>
      </c>
      <c r="S5" s="67">
        <f t="shared" ref="S5:T24" si="0">SUMIFS($M:$M,$G:$G,"&lt;="&amp;$O5,$E:$E,S$4)</f>
        <v>0</v>
      </c>
      <c r="T5" s="67">
        <f t="shared" si="0"/>
        <v>0</v>
      </c>
      <c r="U5" s="67">
        <f>SUMIFS($K:$K,$G:$G,"&lt;="&amp;$O5,$E:$E,U$4)+SUMIFS($L:$L,$G:$G,"&lt;="&amp;$O5,$E:$E,U$4)</f>
        <v>0</v>
      </c>
      <c r="V5" s="67">
        <f>SUM(Q5:U5)</f>
        <v>0</v>
      </c>
      <c r="W5" s="67">
        <f>SUMIFS($K:$K,$G:$G,"&lt;="&amp;$O5)</f>
        <v>0</v>
      </c>
      <c r="X5" s="67">
        <f t="shared" ref="X5:X36" si="1">SUMIFS($K:$K,$G:$G,"&lt;="&amp;$O5,$E:$E,X$4)</f>
        <v>0</v>
      </c>
      <c r="Y5" s="67">
        <f>SUMIFS($L:$L,$G:$G,"&lt;="&amp;$O5)</f>
        <v>0</v>
      </c>
      <c r="Z5" s="67">
        <f t="shared" ref="Z5:Z36" si="2">SUM(W5:Y5)</f>
        <v>0</v>
      </c>
      <c r="AB5" s="209">
        <v>2018</v>
      </c>
      <c r="AC5" s="165">
        <v>1614000</v>
      </c>
      <c r="AD5" s="165">
        <v>5380000</v>
      </c>
    </row>
    <row r="6" spans="2:30" ht="15.75" thickTop="1" x14ac:dyDescent="0.25">
      <c r="B6" s="67"/>
      <c r="C6" s="67"/>
      <c r="D6" s="67"/>
      <c r="E6" s="67"/>
      <c r="F6" s="122"/>
      <c r="G6" s="67"/>
      <c r="H6" s="67"/>
      <c r="I6" s="134"/>
      <c r="J6" s="67"/>
      <c r="K6" s="67"/>
      <c r="L6" s="67"/>
      <c r="M6" s="67"/>
      <c r="O6" s="67">
        <f>'План продаж'!B7</f>
        <v>1</v>
      </c>
      <c r="P6" s="67">
        <f>'План продаж'!D7</f>
        <v>2018</v>
      </c>
      <c r="Q6" s="67">
        <f t="shared" ref="Q6:R69" si="3">SUMIFS($K:$K,$G:$G,"&lt;="&amp;$O6,$E:$E,Q$4)+SUMIFS($L:$L,$G:$G,"&lt;="&amp;$O6,$E:$E,Q$4)</f>
        <v>39000</v>
      </c>
      <c r="R6" s="67">
        <f t="shared" si="3"/>
        <v>39000</v>
      </c>
      <c r="S6" s="67">
        <f t="shared" si="0"/>
        <v>0</v>
      </c>
      <c r="T6" s="67">
        <f t="shared" si="0"/>
        <v>0</v>
      </c>
      <c r="U6" s="67">
        <f t="shared" ref="U6:U69" si="4">SUMIFS($K:$K,$G:$G,"&lt;="&amp;$O6,$E:$E,U$4)+SUMIFS($L:$L,$G:$G,"&lt;="&amp;$O6,$E:$E,U$4)</f>
        <v>370500</v>
      </c>
      <c r="V6" s="67">
        <f t="shared" ref="V6:V69" si="5">SUM(Q6:U6)</f>
        <v>448500</v>
      </c>
      <c r="W6" s="67">
        <f t="shared" ref="W6:W69" si="6">SUMIFS($K:$K,$G:$G,"&lt;="&amp;$O6)</f>
        <v>345000</v>
      </c>
      <c r="X6" s="67">
        <f t="shared" si="1"/>
        <v>0</v>
      </c>
      <c r="Y6" s="67">
        <f t="shared" ref="Y6:Y69" si="7">SUMIFS($L:$L,$G:$G,"&lt;="&amp;$O6)</f>
        <v>103500</v>
      </c>
      <c r="Z6" s="67">
        <f t="shared" si="2"/>
        <v>448500</v>
      </c>
      <c r="AB6" s="209">
        <v>2019</v>
      </c>
      <c r="AC6" s="165">
        <v>2196000</v>
      </c>
      <c r="AD6" s="165">
        <v>7320000</v>
      </c>
    </row>
    <row r="7" spans="2:30" x14ac:dyDescent="0.25">
      <c r="B7" s="67" t="s">
        <v>332</v>
      </c>
      <c r="C7" s="67" t="s">
        <v>331</v>
      </c>
      <c r="D7" s="67">
        <v>2</v>
      </c>
      <c r="E7" s="67" t="s">
        <v>236</v>
      </c>
      <c r="F7" s="122">
        <v>43190</v>
      </c>
      <c r="G7" s="67">
        <f>INDEX('План продаж'!$B$5:$B$66,MATCH($F7,'План продаж'!$E$5:$E$66,0),1)</f>
        <v>1</v>
      </c>
      <c r="H7" s="67">
        <v>15000</v>
      </c>
      <c r="I7" s="134">
        <v>1</v>
      </c>
      <c r="J7" s="67">
        <f t="shared" ref="J7:J9" si="8">0.3*H7*I7</f>
        <v>4500</v>
      </c>
      <c r="K7" s="67">
        <f>(H7*D7)</f>
        <v>30000</v>
      </c>
      <c r="L7" s="67">
        <f>J7*D7</f>
        <v>9000</v>
      </c>
      <c r="M7" s="67">
        <f>(H7+J7)*D7*(12-MONTH(F7))</f>
        <v>351000</v>
      </c>
      <c r="O7" s="67">
        <f>'План продаж'!B8</f>
        <v>2</v>
      </c>
      <c r="P7" s="67">
        <f>'План продаж'!D8</f>
        <v>2018</v>
      </c>
      <c r="Q7" s="67">
        <f t="shared" si="3"/>
        <v>39000</v>
      </c>
      <c r="R7" s="67">
        <f t="shared" si="3"/>
        <v>39000</v>
      </c>
      <c r="S7" s="67">
        <f t="shared" si="0"/>
        <v>0</v>
      </c>
      <c r="T7" s="67">
        <f t="shared" si="0"/>
        <v>0</v>
      </c>
      <c r="U7" s="67">
        <f t="shared" si="4"/>
        <v>370500</v>
      </c>
      <c r="V7" s="67">
        <f t="shared" si="5"/>
        <v>448500</v>
      </c>
      <c r="W7" s="67">
        <f t="shared" si="6"/>
        <v>345000</v>
      </c>
      <c r="X7" s="67">
        <f t="shared" si="1"/>
        <v>0</v>
      </c>
      <c r="Y7" s="67">
        <f t="shared" si="7"/>
        <v>103500</v>
      </c>
      <c r="Z7" s="67">
        <f t="shared" si="2"/>
        <v>448500</v>
      </c>
      <c r="AB7" s="209">
        <v>2020</v>
      </c>
      <c r="AC7" s="165">
        <v>2196000</v>
      </c>
      <c r="AD7" s="165">
        <v>7320000</v>
      </c>
    </row>
    <row r="8" spans="2:30" x14ac:dyDescent="0.25">
      <c r="B8" s="67"/>
      <c r="C8" s="67"/>
      <c r="D8" s="67"/>
      <c r="E8" s="67"/>
      <c r="F8" s="122"/>
      <c r="G8" s="67"/>
      <c r="H8" s="67"/>
      <c r="I8" s="134"/>
      <c r="J8" s="67"/>
      <c r="K8" s="67"/>
      <c r="L8" s="67"/>
      <c r="M8" s="67">
        <f>(H8+J8)*D8*(12-MONTH(F8))</f>
        <v>0</v>
      </c>
      <c r="O8" s="67">
        <f>'План продаж'!B9</f>
        <v>3</v>
      </c>
      <c r="P8" s="67">
        <f>'План продаж'!D9</f>
        <v>2018</v>
      </c>
      <c r="Q8" s="67">
        <f t="shared" si="3"/>
        <v>39000</v>
      </c>
      <c r="R8" s="67">
        <f t="shared" si="3"/>
        <v>39000</v>
      </c>
      <c r="S8" s="67">
        <f t="shared" si="0"/>
        <v>0</v>
      </c>
      <c r="T8" s="67">
        <f t="shared" si="0"/>
        <v>0</v>
      </c>
      <c r="U8" s="67">
        <f t="shared" si="4"/>
        <v>370500</v>
      </c>
      <c r="V8" s="67">
        <f t="shared" si="5"/>
        <v>448500</v>
      </c>
      <c r="W8" s="67">
        <f t="shared" si="6"/>
        <v>345000</v>
      </c>
      <c r="X8" s="67">
        <f t="shared" si="1"/>
        <v>0</v>
      </c>
      <c r="Y8" s="67">
        <f t="shared" si="7"/>
        <v>103500</v>
      </c>
      <c r="Z8" s="67">
        <f t="shared" si="2"/>
        <v>448500</v>
      </c>
      <c r="AB8" s="209">
        <v>2021</v>
      </c>
      <c r="AC8" s="165">
        <v>2196000</v>
      </c>
      <c r="AD8" s="165">
        <v>7320000</v>
      </c>
    </row>
    <row r="9" spans="2:30" x14ac:dyDescent="0.25">
      <c r="B9" s="67" t="s">
        <v>332</v>
      </c>
      <c r="C9" s="67" t="s">
        <v>333</v>
      </c>
      <c r="D9" s="67">
        <v>2</v>
      </c>
      <c r="E9" s="67" t="s">
        <v>238</v>
      </c>
      <c r="F9" s="122">
        <v>43190</v>
      </c>
      <c r="G9" s="67">
        <f>INDEX('План продаж'!$B$5:$B$66,MATCH($F9,'План продаж'!$E$5:$E$66,0),1)</f>
        <v>1</v>
      </c>
      <c r="H9" s="67">
        <v>15000</v>
      </c>
      <c r="I9" s="134">
        <v>1</v>
      </c>
      <c r="J9" s="67">
        <f t="shared" si="8"/>
        <v>4500</v>
      </c>
      <c r="K9" s="67">
        <f t="shared" ref="K9:K20" si="9">(H9*D9)</f>
        <v>30000</v>
      </c>
      <c r="L9" s="67">
        <f t="shared" ref="L9:L20" si="10">J9*D9</f>
        <v>9000</v>
      </c>
      <c r="M9" s="67">
        <f>(H9+J9)*D9*(12-MONTH(F9))</f>
        <v>351000</v>
      </c>
      <c r="O9" s="67">
        <f>'План продаж'!B10</f>
        <v>4</v>
      </c>
      <c r="P9" s="67">
        <f>'План продаж'!D10</f>
        <v>2018</v>
      </c>
      <c r="Q9" s="67">
        <f t="shared" si="3"/>
        <v>39000</v>
      </c>
      <c r="R9" s="67">
        <f t="shared" si="3"/>
        <v>39000</v>
      </c>
      <c r="S9" s="67">
        <f t="shared" si="0"/>
        <v>0</v>
      </c>
      <c r="T9" s="67">
        <f t="shared" si="0"/>
        <v>0</v>
      </c>
      <c r="U9" s="67">
        <f t="shared" si="4"/>
        <v>370500</v>
      </c>
      <c r="V9" s="67">
        <f t="shared" si="5"/>
        <v>448500</v>
      </c>
      <c r="W9" s="67">
        <f t="shared" si="6"/>
        <v>345000</v>
      </c>
      <c r="X9" s="67">
        <f t="shared" si="1"/>
        <v>0</v>
      </c>
      <c r="Y9" s="67">
        <f t="shared" si="7"/>
        <v>103500</v>
      </c>
      <c r="Z9" s="67">
        <f t="shared" si="2"/>
        <v>448500</v>
      </c>
      <c r="AB9" s="209">
        <v>2022</v>
      </c>
      <c r="AC9" s="165">
        <v>2196000</v>
      </c>
      <c r="AD9" s="165">
        <v>7320000</v>
      </c>
    </row>
    <row r="10" spans="2:30" x14ac:dyDescent="0.25">
      <c r="B10" s="67"/>
      <c r="C10" s="67"/>
      <c r="D10" s="67"/>
      <c r="E10" s="67"/>
      <c r="F10" s="122"/>
      <c r="G10" s="67"/>
      <c r="H10" s="67"/>
      <c r="I10" s="134"/>
      <c r="J10" s="67"/>
      <c r="K10" s="67">
        <f t="shared" si="9"/>
        <v>0</v>
      </c>
      <c r="L10" s="67">
        <f t="shared" si="10"/>
        <v>0</v>
      </c>
      <c r="M10" s="67"/>
      <c r="O10" s="67">
        <f>'План продаж'!B11</f>
        <v>5</v>
      </c>
      <c r="P10" s="67">
        <f>'План продаж'!D11</f>
        <v>2018</v>
      </c>
      <c r="Q10" s="67">
        <f t="shared" si="3"/>
        <v>39000</v>
      </c>
      <c r="R10" s="67">
        <f t="shared" si="3"/>
        <v>39000</v>
      </c>
      <c r="S10" s="67">
        <f t="shared" si="0"/>
        <v>0</v>
      </c>
      <c r="T10" s="67">
        <f t="shared" si="0"/>
        <v>0</v>
      </c>
      <c r="U10" s="67">
        <f t="shared" si="4"/>
        <v>448500</v>
      </c>
      <c r="V10" s="67">
        <f t="shared" si="5"/>
        <v>526500</v>
      </c>
      <c r="W10" s="67">
        <f t="shared" si="6"/>
        <v>405000</v>
      </c>
      <c r="X10" s="67">
        <f t="shared" si="1"/>
        <v>0</v>
      </c>
      <c r="Y10" s="67">
        <f t="shared" si="7"/>
        <v>121500</v>
      </c>
      <c r="Z10" s="67">
        <f t="shared" si="2"/>
        <v>526500</v>
      </c>
      <c r="AB10" s="209">
        <v>2023</v>
      </c>
      <c r="AC10" s="165">
        <v>366000</v>
      </c>
      <c r="AD10" s="165">
        <v>1220000</v>
      </c>
    </row>
    <row r="11" spans="2:30" x14ac:dyDescent="0.25">
      <c r="B11" s="67"/>
      <c r="C11" s="67"/>
      <c r="D11" s="67"/>
      <c r="E11" s="67"/>
      <c r="F11" s="122"/>
      <c r="G11" s="67"/>
      <c r="H11" s="67"/>
      <c r="I11" s="134"/>
      <c r="J11" s="67"/>
      <c r="K11" s="67">
        <f t="shared" si="9"/>
        <v>0</v>
      </c>
      <c r="L11" s="67">
        <f t="shared" si="10"/>
        <v>0</v>
      </c>
      <c r="M11" s="67"/>
      <c r="O11" s="67">
        <f>'План продаж'!B12</f>
        <v>6</v>
      </c>
      <c r="P11" s="67">
        <f>'План продаж'!D12</f>
        <v>2018</v>
      </c>
      <c r="Q11" s="67">
        <f t="shared" si="3"/>
        <v>39000</v>
      </c>
      <c r="R11" s="67">
        <f t="shared" si="3"/>
        <v>39000</v>
      </c>
      <c r="S11" s="67">
        <f t="shared" si="0"/>
        <v>0</v>
      </c>
      <c r="T11" s="67">
        <f t="shared" si="0"/>
        <v>0</v>
      </c>
      <c r="U11" s="67">
        <f t="shared" si="4"/>
        <v>448500</v>
      </c>
      <c r="V11" s="67">
        <f t="shared" si="5"/>
        <v>526500</v>
      </c>
      <c r="W11" s="67">
        <f t="shared" si="6"/>
        <v>405000</v>
      </c>
      <c r="X11" s="67">
        <f t="shared" si="1"/>
        <v>0</v>
      </c>
      <c r="Y11" s="67">
        <f t="shared" si="7"/>
        <v>121500</v>
      </c>
      <c r="Z11" s="67">
        <f t="shared" si="2"/>
        <v>526500</v>
      </c>
      <c r="AB11" s="209" t="s">
        <v>138</v>
      </c>
      <c r="AC11" s="165">
        <v>10764000</v>
      </c>
      <c r="AD11" s="165">
        <v>35880000</v>
      </c>
    </row>
    <row r="12" spans="2:30" x14ac:dyDescent="0.25">
      <c r="B12" s="67"/>
      <c r="C12" s="67"/>
      <c r="D12" s="67"/>
      <c r="E12" s="67"/>
      <c r="F12" s="122"/>
      <c r="G12" s="67"/>
      <c r="H12" s="67"/>
      <c r="I12" s="134"/>
      <c r="J12" s="67"/>
      <c r="K12" s="67">
        <f t="shared" si="9"/>
        <v>0</v>
      </c>
      <c r="L12" s="67">
        <f t="shared" si="10"/>
        <v>0</v>
      </c>
      <c r="M12" s="67"/>
      <c r="O12" s="67">
        <f>'План продаж'!B13</f>
        <v>7</v>
      </c>
      <c r="P12" s="67">
        <f>'План продаж'!D13</f>
        <v>2018</v>
      </c>
      <c r="Q12" s="67">
        <f t="shared" si="3"/>
        <v>39000</v>
      </c>
      <c r="R12" s="67">
        <f t="shared" si="3"/>
        <v>39000</v>
      </c>
      <c r="S12" s="67">
        <f t="shared" si="0"/>
        <v>0</v>
      </c>
      <c r="T12" s="67">
        <f t="shared" si="0"/>
        <v>0</v>
      </c>
      <c r="U12" s="67">
        <f t="shared" si="4"/>
        <v>448500</v>
      </c>
      <c r="V12" s="67">
        <f t="shared" si="5"/>
        <v>526500</v>
      </c>
      <c r="W12" s="67">
        <f t="shared" si="6"/>
        <v>405000</v>
      </c>
      <c r="X12" s="67">
        <f t="shared" si="1"/>
        <v>0</v>
      </c>
      <c r="Y12" s="67">
        <f t="shared" si="7"/>
        <v>121500</v>
      </c>
      <c r="Z12" s="67">
        <f t="shared" si="2"/>
        <v>526500</v>
      </c>
    </row>
    <row r="13" spans="2:30" x14ac:dyDescent="0.25">
      <c r="B13" s="67" t="s">
        <v>330</v>
      </c>
      <c r="C13" s="67" t="s">
        <v>408</v>
      </c>
      <c r="D13" s="129">
        <v>1</v>
      </c>
      <c r="E13" s="67" t="s">
        <v>34</v>
      </c>
      <c r="F13" s="122">
        <v>43190</v>
      </c>
      <c r="G13" s="67">
        <f>INDEX('План продаж'!$B$5:$B$66,MATCH($F13,'План продаж'!$E$5:$E$66,0),1)</f>
        <v>1</v>
      </c>
      <c r="H13" s="67">
        <v>55000</v>
      </c>
      <c r="I13" s="134">
        <v>1</v>
      </c>
      <c r="J13" s="67">
        <f t="shared" ref="J13:J16" si="11">0.3*H13*I13</f>
        <v>16500</v>
      </c>
      <c r="K13" s="67">
        <f t="shared" si="9"/>
        <v>55000</v>
      </c>
      <c r="L13" s="67">
        <f t="shared" si="10"/>
        <v>16500</v>
      </c>
      <c r="M13" s="67">
        <f t="shared" ref="M13:M16" si="12">(H13+J13)*D13*(12-MONTH(F13))</f>
        <v>643500</v>
      </c>
      <c r="O13" s="67">
        <f>'План продаж'!B14</f>
        <v>8</v>
      </c>
      <c r="P13" s="67">
        <f>'План продаж'!D14</f>
        <v>2018</v>
      </c>
      <c r="Q13" s="67">
        <f t="shared" si="3"/>
        <v>39000</v>
      </c>
      <c r="R13" s="67">
        <f t="shared" si="3"/>
        <v>39000</v>
      </c>
      <c r="S13" s="67">
        <f t="shared" si="0"/>
        <v>0</v>
      </c>
      <c r="T13" s="67">
        <f t="shared" si="0"/>
        <v>0</v>
      </c>
      <c r="U13" s="67">
        <f t="shared" si="4"/>
        <v>448500</v>
      </c>
      <c r="V13" s="67">
        <f t="shared" si="5"/>
        <v>526500</v>
      </c>
      <c r="W13" s="67">
        <f t="shared" si="6"/>
        <v>405000</v>
      </c>
      <c r="X13" s="67">
        <f t="shared" si="1"/>
        <v>0</v>
      </c>
      <c r="Y13" s="67">
        <f t="shared" si="7"/>
        <v>121500</v>
      </c>
      <c r="Z13" s="67">
        <f t="shared" si="2"/>
        <v>526500</v>
      </c>
    </row>
    <row r="14" spans="2:30" x14ac:dyDescent="0.25">
      <c r="B14" s="67" t="s">
        <v>330</v>
      </c>
      <c r="C14" s="67" t="s">
        <v>405</v>
      </c>
      <c r="D14" s="129">
        <v>4</v>
      </c>
      <c r="E14" s="67" t="s">
        <v>34</v>
      </c>
      <c r="F14" s="122">
        <v>43190</v>
      </c>
      <c r="G14" s="67">
        <f>INDEX('План продаж'!$B$5:$B$66,MATCH($F14,'План продаж'!$E$5:$E$66,0),1)</f>
        <v>1</v>
      </c>
      <c r="H14" s="67">
        <v>30000</v>
      </c>
      <c r="I14" s="134">
        <v>1</v>
      </c>
      <c r="J14" s="67">
        <f t="shared" si="11"/>
        <v>9000</v>
      </c>
      <c r="K14" s="67">
        <f t="shared" si="9"/>
        <v>120000</v>
      </c>
      <c r="L14" s="67">
        <f t="shared" si="10"/>
        <v>36000</v>
      </c>
      <c r="M14" s="67">
        <f t="shared" si="12"/>
        <v>1404000</v>
      </c>
      <c r="O14" s="67">
        <f>'План продаж'!B15</f>
        <v>9</v>
      </c>
      <c r="P14" s="67">
        <f>'План продаж'!D15</f>
        <v>2018</v>
      </c>
      <c r="Q14" s="67">
        <f t="shared" si="3"/>
        <v>39000</v>
      </c>
      <c r="R14" s="67">
        <f t="shared" si="3"/>
        <v>39000</v>
      </c>
      <c r="S14" s="67">
        <f t="shared" si="0"/>
        <v>0</v>
      </c>
      <c r="T14" s="67">
        <f t="shared" si="0"/>
        <v>0</v>
      </c>
      <c r="U14" s="67">
        <f t="shared" si="4"/>
        <v>526500</v>
      </c>
      <c r="V14" s="67">
        <f t="shared" si="5"/>
        <v>604500</v>
      </c>
      <c r="W14" s="67">
        <f t="shared" si="6"/>
        <v>465000</v>
      </c>
      <c r="X14" s="67">
        <f t="shared" si="1"/>
        <v>0</v>
      </c>
      <c r="Y14" s="67">
        <f t="shared" si="7"/>
        <v>139500</v>
      </c>
      <c r="Z14" s="67">
        <f t="shared" si="2"/>
        <v>604500</v>
      </c>
    </row>
    <row r="15" spans="2:30" x14ac:dyDescent="0.25">
      <c r="B15" s="67" t="s">
        <v>330</v>
      </c>
      <c r="C15" s="67" t="s">
        <v>406</v>
      </c>
      <c r="D15" s="129">
        <v>2</v>
      </c>
      <c r="E15" s="67" t="s">
        <v>34</v>
      </c>
      <c r="F15" s="122">
        <v>43190</v>
      </c>
      <c r="G15" s="67">
        <f>INDEX('План продаж'!$B$5:$B$66,MATCH($F15,'План продаж'!$E$5:$E$66,0),1)</f>
        <v>1</v>
      </c>
      <c r="H15" s="67">
        <v>25000</v>
      </c>
      <c r="I15" s="134">
        <v>1</v>
      </c>
      <c r="J15" s="67">
        <f t="shared" si="11"/>
        <v>7500</v>
      </c>
      <c r="K15" s="67">
        <f t="shared" si="9"/>
        <v>50000</v>
      </c>
      <c r="L15" s="67">
        <f t="shared" si="10"/>
        <v>15000</v>
      </c>
      <c r="M15" s="67">
        <f t="shared" si="12"/>
        <v>585000</v>
      </c>
      <c r="O15" s="67">
        <f>'План продаж'!B16</f>
        <v>10</v>
      </c>
      <c r="P15" s="67">
        <f>'План продаж'!D16</f>
        <v>2018</v>
      </c>
      <c r="Q15" s="67">
        <f t="shared" si="3"/>
        <v>39000</v>
      </c>
      <c r="R15" s="67">
        <f t="shared" si="3"/>
        <v>39000</v>
      </c>
      <c r="S15" s="67">
        <f t="shared" si="0"/>
        <v>0</v>
      </c>
      <c r="T15" s="67">
        <f t="shared" si="0"/>
        <v>0</v>
      </c>
      <c r="U15" s="67">
        <f t="shared" si="4"/>
        <v>526500</v>
      </c>
      <c r="V15" s="67">
        <f t="shared" si="5"/>
        <v>604500</v>
      </c>
      <c r="W15" s="67">
        <f t="shared" si="6"/>
        <v>465000</v>
      </c>
      <c r="X15" s="67">
        <f t="shared" si="1"/>
        <v>0</v>
      </c>
      <c r="Y15" s="67">
        <f t="shared" si="7"/>
        <v>139500</v>
      </c>
      <c r="Z15" s="67">
        <f t="shared" si="2"/>
        <v>604500</v>
      </c>
    </row>
    <row r="16" spans="2:30" x14ac:dyDescent="0.25">
      <c r="B16" s="67" t="s">
        <v>330</v>
      </c>
      <c r="C16" s="67" t="s">
        <v>407</v>
      </c>
      <c r="D16" s="129">
        <v>2</v>
      </c>
      <c r="E16" s="67" t="s">
        <v>34</v>
      </c>
      <c r="F16" s="122">
        <v>43190</v>
      </c>
      <c r="G16" s="67">
        <f>INDEX('План продаж'!$B$5:$B$66,MATCH($F16,'План продаж'!$E$5:$E$66,0),1)</f>
        <v>1</v>
      </c>
      <c r="H16" s="67">
        <v>30000</v>
      </c>
      <c r="I16" s="134">
        <v>1</v>
      </c>
      <c r="J16" s="67">
        <f t="shared" si="11"/>
        <v>9000</v>
      </c>
      <c r="K16" s="67">
        <f t="shared" si="9"/>
        <v>60000</v>
      </c>
      <c r="L16" s="67">
        <f t="shared" si="10"/>
        <v>18000</v>
      </c>
      <c r="M16" s="67">
        <f t="shared" si="12"/>
        <v>702000</v>
      </c>
      <c r="O16" s="67">
        <f>'План продаж'!B17</f>
        <v>11</v>
      </c>
      <c r="P16" s="67">
        <f>'План продаж'!D17</f>
        <v>2019</v>
      </c>
      <c r="Q16" s="67">
        <f t="shared" si="3"/>
        <v>39000</v>
      </c>
      <c r="R16" s="67">
        <f t="shared" si="3"/>
        <v>39000</v>
      </c>
      <c r="S16" s="67">
        <f t="shared" si="0"/>
        <v>0</v>
      </c>
      <c r="T16" s="67">
        <f t="shared" si="0"/>
        <v>0</v>
      </c>
      <c r="U16" s="67">
        <f t="shared" si="4"/>
        <v>526500</v>
      </c>
      <c r="V16" s="67">
        <f t="shared" si="5"/>
        <v>604500</v>
      </c>
      <c r="W16" s="67">
        <f t="shared" si="6"/>
        <v>465000</v>
      </c>
      <c r="X16" s="67">
        <f t="shared" si="1"/>
        <v>0</v>
      </c>
      <c r="Y16" s="67">
        <f t="shared" si="7"/>
        <v>139500</v>
      </c>
      <c r="Z16" s="67">
        <f t="shared" si="2"/>
        <v>604500</v>
      </c>
    </row>
    <row r="17" spans="2:26" x14ac:dyDescent="0.25">
      <c r="B17" s="67" t="s">
        <v>330</v>
      </c>
      <c r="C17" s="67" t="s">
        <v>407</v>
      </c>
      <c r="D17" s="129">
        <v>1</v>
      </c>
      <c r="E17" s="67" t="s">
        <v>34</v>
      </c>
      <c r="F17" s="122">
        <v>43312</v>
      </c>
      <c r="G17" s="67">
        <f>INDEX('План продаж'!$B$5:$B$66,MATCH($F17,'План продаж'!$E$5:$E$66,0),1)</f>
        <v>5</v>
      </c>
      <c r="H17" s="67">
        <v>30000</v>
      </c>
      <c r="I17" s="134">
        <v>1</v>
      </c>
      <c r="J17" s="67">
        <f t="shared" ref="J17:J18" si="13">0.3*H17*I17</f>
        <v>9000</v>
      </c>
      <c r="K17" s="67">
        <f t="shared" si="9"/>
        <v>30000</v>
      </c>
      <c r="L17" s="67">
        <f t="shared" si="10"/>
        <v>9000</v>
      </c>
      <c r="M17" s="67">
        <f t="shared" ref="M17:M18" si="14">(H17+J17)*D17*(12-MONTH(F17))</f>
        <v>195000</v>
      </c>
      <c r="O17" s="67">
        <f>'План продаж'!B18</f>
        <v>12</v>
      </c>
      <c r="P17" s="67">
        <f>'План продаж'!D18</f>
        <v>2019</v>
      </c>
      <c r="Q17" s="67">
        <f t="shared" si="3"/>
        <v>39000</v>
      </c>
      <c r="R17" s="67">
        <f t="shared" si="3"/>
        <v>39000</v>
      </c>
      <c r="S17" s="67">
        <f t="shared" si="0"/>
        <v>0</v>
      </c>
      <c r="T17" s="67">
        <f t="shared" si="0"/>
        <v>0</v>
      </c>
      <c r="U17" s="67">
        <f t="shared" si="4"/>
        <v>526500</v>
      </c>
      <c r="V17" s="67">
        <f t="shared" si="5"/>
        <v>604500</v>
      </c>
      <c r="W17" s="67">
        <f t="shared" si="6"/>
        <v>465000</v>
      </c>
      <c r="X17" s="67">
        <f t="shared" si="1"/>
        <v>0</v>
      </c>
      <c r="Y17" s="67">
        <f t="shared" si="7"/>
        <v>139500</v>
      </c>
      <c r="Z17" s="67">
        <f t="shared" si="2"/>
        <v>604500</v>
      </c>
    </row>
    <row r="18" spans="2:26" x14ac:dyDescent="0.25">
      <c r="B18" s="67" t="s">
        <v>330</v>
      </c>
      <c r="C18" s="67" t="s">
        <v>405</v>
      </c>
      <c r="D18" s="129">
        <v>1</v>
      </c>
      <c r="E18" s="67" t="s">
        <v>34</v>
      </c>
      <c r="F18" s="122">
        <v>43312</v>
      </c>
      <c r="G18" s="67">
        <f>INDEX('План продаж'!$B$5:$B$66,MATCH($F18,'План продаж'!$E$5:$E$66,0),1)</f>
        <v>5</v>
      </c>
      <c r="H18" s="67">
        <v>30000</v>
      </c>
      <c r="I18" s="134">
        <v>1</v>
      </c>
      <c r="J18" s="67">
        <f t="shared" si="13"/>
        <v>9000</v>
      </c>
      <c r="K18" s="67">
        <f t="shared" si="9"/>
        <v>30000</v>
      </c>
      <c r="L18" s="67">
        <f t="shared" si="10"/>
        <v>9000</v>
      </c>
      <c r="M18" s="67">
        <f t="shared" si="14"/>
        <v>195000</v>
      </c>
      <c r="O18" s="67">
        <f>'План продаж'!B19</f>
        <v>13</v>
      </c>
      <c r="P18" s="67">
        <f>'План продаж'!D19</f>
        <v>2019</v>
      </c>
      <c r="Q18" s="67">
        <f t="shared" si="3"/>
        <v>39000</v>
      </c>
      <c r="R18" s="67">
        <f t="shared" si="3"/>
        <v>39000</v>
      </c>
      <c r="S18" s="67">
        <f t="shared" si="0"/>
        <v>0</v>
      </c>
      <c r="T18" s="67">
        <f t="shared" si="0"/>
        <v>0</v>
      </c>
      <c r="U18" s="67">
        <f t="shared" si="4"/>
        <v>526500</v>
      </c>
      <c r="V18" s="67">
        <f t="shared" si="5"/>
        <v>604500</v>
      </c>
      <c r="W18" s="67">
        <f t="shared" si="6"/>
        <v>465000</v>
      </c>
      <c r="X18" s="67">
        <f t="shared" si="1"/>
        <v>0</v>
      </c>
      <c r="Y18" s="67">
        <f t="shared" si="7"/>
        <v>139500</v>
      </c>
      <c r="Z18" s="67">
        <f t="shared" si="2"/>
        <v>604500</v>
      </c>
    </row>
    <row r="19" spans="2:26" x14ac:dyDescent="0.25">
      <c r="B19" s="67" t="s">
        <v>330</v>
      </c>
      <c r="C19" s="67" t="s">
        <v>407</v>
      </c>
      <c r="D19" s="129">
        <v>1</v>
      </c>
      <c r="E19" s="67" t="s">
        <v>34</v>
      </c>
      <c r="F19" s="122">
        <v>43434</v>
      </c>
      <c r="G19" s="67">
        <f>INDEX('План продаж'!$B$5:$B$66,MATCH($F19,'План продаж'!$E$5:$E$66,0),1)</f>
        <v>9</v>
      </c>
      <c r="H19" s="67">
        <v>30000</v>
      </c>
      <c r="I19" s="134">
        <v>1</v>
      </c>
      <c r="J19" s="67">
        <f t="shared" ref="J19:J20" si="15">0.3*H19*I19</f>
        <v>9000</v>
      </c>
      <c r="K19" s="67">
        <f t="shared" si="9"/>
        <v>30000</v>
      </c>
      <c r="L19" s="67">
        <f t="shared" si="10"/>
        <v>9000</v>
      </c>
      <c r="M19" s="67">
        <f t="shared" ref="M19:M20" si="16">(H19+J19)*D19*(12-MONTH(F19))</f>
        <v>39000</v>
      </c>
      <c r="O19" s="67">
        <f>'План продаж'!B20</f>
        <v>14</v>
      </c>
      <c r="P19" s="67">
        <f>'План продаж'!D20</f>
        <v>2019</v>
      </c>
      <c r="Q19" s="67">
        <f t="shared" si="3"/>
        <v>39000</v>
      </c>
      <c r="R19" s="67">
        <f t="shared" si="3"/>
        <v>39000</v>
      </c>
      <c r="S19" s="67">
        <f t="shared" si="0"/>
        <v>0</v>
      </c>
      <c r="T19" s="67">
        <f t="shared" si="0"/>
        <v>0</v>
      </c>
      <c r="U19" s="67">
        <f t="shared" si="4"/>
        <v>526500</v>
      </c>
      <c r="V19" s="67">
        <f t="shared" si="5"/>
        <v>604500</v>
      </c>
      <c r="W19" s="67">
        <f t="shared" si="6"/>
        <v>465000</v>
      </c>
      <c r="X19" s="67">
        <f t="shared" si="1"/>
        <v>0</v>
      </c>
      <c r="Y19" s="67">
        <f t="shared" si="7"/>
        <v>139500</v>
      </c>
      <c r="Z19" s="67">
        <f t="shared" si="2"/>
        <v>604500</v>
      </c>
    </row>
    <row r="20" spans="2:26" x14ac:dyDescent="0.25">
      <c r="B20" s="67" t="s">
        <v>330</v>
      </c>
      <c r="C20" s="67" t="s">
        <v>405</v>
      </c>
      <c r="D20" s="129">
        <v>1</v>
      </c>
      <c r="E20" s="67" t="s">
        <v>34</v>
      </c>
      <c r="F20" s="122">
        <v>43434</v>
      </c>
      <c r="G20" s="67">
        <f>INDEX('План продаж'!$B$5:$B$66,MATCH($F20,'План продаж'!$E$5:$E$66,0),1)</f>
        <v>9</v>
      </c>
      <c r="H20" s="67">
        <v>30000</v>
      </c>
      <c r="I20" s="134">
        <v>1</v>
      </c>
      <c r="J20" s="67">
        <f t="shared" si="15"/>
        <v>9000</v>
      </c>
      <c r="K20" s="67">
        <f t="shared" si="9"/>
        <v>30000</v>
      </c>
      <c r="L20" s="67">
        <f t="shared" si="10"/>
        <v>9000</v>
      </c>
      <c r="M20" s="67">
        <f t="shared" si="16"/>
        <v>39000</v>
      </c>
      <c r="O20" s="67">
        <f>'План продаж'!B21</f>
        <v>15</v>
      </c>
      <c r="P20" s="67">
        <f>'План продаж'!D21</f>
        <v>2019</v>
      </c>
      <c r="Q20" s="67">
        <f t="shared" si="3"/>
        <v>39000</v>
      </c>
      <c r="R20" s="67">
        <f t="shared" si="3"/>
        <v>39000</v>
      </c>
      <c r="S20" s="67">
        <f t="shared" si="0"/>
        <v>0</v>
      </c>
      <c r="T20" s="67">
        <f t="shared" si="0"/>
        <v>0</v>
      </c>
      <c r="U20" s="67">
        <f t="shared" si="4"/>
        <v>526500</v>
      </c>
      <c r="V20" s="67">
        <f t="shared" si="5"/>
        <v>604500</v>
      </c>
      <c r="W20" s="67">
        <f t="shared" si="6"/>
        <v>465000</v>
      </c>
      <c r="X20" s="67">
        <f t="shared" si="1"/>
        <v>0</v>
      </c>
      <c r="Y20" s="67">
        <f t="shared" si="7"/>
        <v>139500</v>
      </c>
      <c r="Z20" s="67">
        <f t="shared" si="2"/>
        <v>604500</v>
      </c>
    </row>
    <row r="21" spans="2:26" x14ac:dyDescent="0.25">
      <c r="O21" s="67">
        <f>'План продаж'!B22</f>
        <v>16</v>
      </c>
      <c r="P21" s="67">
        <f>'План продаж'!D22</f>
        <v>2019</v>
      </c>
      <c r="Q21" s="67">
        <f t="shared" si="3"/>
        <v>39000</v>
      </c>
      <c r="R21" s="67">
        <f t="shared" si="3"/>
        <v>39000</v>
      </c>
      <c r="S21" s="67">
        <f t="shared" si="0"/>
        <v>0</v>
      </c>
      <c r="T21" s="67">
        <f t="shared" si="0"/>
        <v>0</v>
      </c>
      <c r="U21" s="67">
        <f t="shared" si="4"/>
        <v>526500</v>
      </c>
      <c r="V21" s="67">
        <f t="shared" si="5"/>
        <v>604500</v>
      </c>
      <c r="W21" s="67">
        <f t="shared" si="6"/>
        <v>465000</v>
      </c>
      <c r="X21" s="67">
        <f t="shared" si="1"/>
        <v>0</v>
      </c>
      <c r="Y21" s="67">
        <f t="shared" si="7"/>
        <v>139500</v>
      </c>
      <c r="Z21" s="67">
        <f t="shared" si="2"/>
        <v>604500</v>
      </c>
    </row>
    <row r="22" spans="2:26" x14ac:dyDescent="0.25">
      <c r="O22" s="67">
        <f>'План продаж'!B23</f>
        <v>17</v>
      </c>
      <c r="P22" s="67">
        <f>'План продаж'!D23</f>
        <v>2019</v>
      </c>
      <c r="Q22" s="67">
        <f t="shared" si="3"/>
        <v>39000</v>
      </c>
      <c r="R22" s="67">
        <f t="shared" si="3"/>
        <v>39000</v>
      </c>
      <c r="S22" s="67">
        <f t="shared" si="0"/>
        <v>0</v>
      </c>
      <c r="T22" s="67">
        <f t="shared" si="0"/>
        <v>0</v>
      </c>
      <c r="U22" s="67">
        <f t="shared" si="4"/>
        <v>526500</v>
      </c>
      <c r="V22" s="67">
        <f t="shared" si="5"/>
        <v>604500</v>
      </c>
      <c r="W22" s="67">
        <f t="shared" si="6"/>
        <v>465000</v>
      </c>
      <c r="X22" s="67">
        <f t="shared" si="1"/>
        <v>0</v>
      </c>
      <c r="Y22" s="67">
        <f t="shared" si="7"/>
        <v>139500</v>
      </c>
      <c r="Z22" s="67">
        <f t="shared" si="2"/>
        <v>604500</v>
      </c>
    </row>
    <row r="23" spans="2:26" x14ac:dyDescent="0.25">
      <c r="O23" s="67">
        <f>'План продаж'!B24</f>
        <v>18</v>
      </c>
      <c r="P23" s="67">
        <f>'План продаж'!D24</f>
        <v>2019</v>
      </c>
      <c r="Q23" s="67">
        <f t="shared" si="3"/>
        <v>39000</v>
      </c>
      <c r="R23" s="67">
        <f t="shared" si="3"/>
        <v>39000</v>
      </c>
      <c r="S23" s="67">
        <f t="shared" si="0"/>
        <v>0</v>
      </c>
      <c r="T23" s="67">
        <f t="shared" si="0"/>
        <v>0</v>
      </c>
      <c r="U23" s="67">
        <f t="shared" si="4"/>
        <v>526500</v>
      </c>
      <c r="V23" s="67">
        <f t="shared" si="5"/>
        <v>604500</v>
      </c>
      <c r="W23" s="67">
        <f t="shared" si="6"/>
        <v>465000</v>
      </c>
      <c r="X23" s="67">
        <f t="shared" si="1"/>
        <v>0</v>
      </c>
      <c r="Y23" s="67">
        <f t="shared" si="7"/>
        <v>139500</v>
      </c>
      <c r="Z23" s="67">
        <f t="shared" si="2"/>
        <v>604500</v>
      </c>
    </row>
    <row r="24" spans="2:26" x14ac:dyDescent="0.25">
      <c r="O24" s="67">
        <f>'План продаж'!B25</f>
        <v>19</v>
      </c>
      <c r="P24" s="67">
        <f>'План продаж'!D25</f>
        <v>2019</v>
      </c>
      <c r="Q24" s="67">
        <f t="shared" si="3"/>
        <v>39000</v>
      </c>
      <c r="R24" s="67">
        <f t="shared" si="3"/>
        <v>39000</v>
      </c>
      <c r="S24" s="67">
        <f t="shared" si="0"/>
        <v>0</v>
      </c>
      <c r="T24" s="67">
        <f t="shared" si="0"/>
        <v>0</v>
      </c>
      <c r="U24" s="67">
        <f t="shared" si="4"/>
        <v>526500</v>
      </c>
      <c r="V24" s="67">
        <f t="shared" si="5"/>
        <v>604500</v>
      </c>
      <c r="W24" s="67">
        <f t="shared" si="6"/>
        <v>465000</v>
      </c>
      <c r="X24" s="67">
        <f t="shared" si="1"/>
        <v>0</v>
      </c>
      <c r="Y24" s="67">
        <f t="shared" si="7"/>
        <v>139500</v>
      </c>
      <c r="Z24" s="67">
        <f t="shared" si="2"/>
        <v>604500</v>
      </c>
    </row>
    <row r="25" spans="2:26" x14ac:dyDescent="0.25">
      <c r="O25" s="67">
        <f>'План продаж'!B26</f>
        <v>20</v>
      </c>
      <c r="P25" s="67">
        <f>'План продаж'!D26</f>
        <v>2019</v>
      </c>
      <c r="Q25" s="67">
        <f t="shared" si="3"/>
        <v>39000</v>
      </c>
      <c r="R25" s="67">
        <f t="shared" si="3"/>
        <v>39000</v>
      </c>
      <c r="S25" s="67">
        <f t="shared" ref="S25:T44" si="17">SUMIFS($M:$M,$G:$G,"&lt;="&amp;$O25,$E:$E,S$4)</f>
        <v>0</v>
      </c>
      <c r="T25" s="67">
        <f t="shared" si="17"/>
        <v>0</v>
      </c>
      <c r="U25" s="67">
        <f t="shared" si="4"/>
        <v>526500</v>
      </c>
      <c r="V25" s="67">
        <f t="shared" si="5"/>
        <v>604500</v>
      </c>
      <c r="W25" s="67">
        <f t="shared" si="6"/>
        <v>465000</v>
      </c>
      <c r="X25" s="67">
        <f t="shared" si="1"/>
        <v>0</v>
      </c>
      <c r="Y25" s="67">
        <f t="shared" si="7"/>
        <v>139500</v>
      </c>
      <c r="Z25" s="67">
        <f t="shared" si="2"/>
        <v>604500</v>
      </c>
    </row>
    <row r="26" spans="2:26" x14ac:dyDescent="0.25">
      <c r="O26" s="67">
        <f>'План продаж'!B27</f>
        <v>21</v>
      </c>
      <c r="P26" s="67">
        <f>'План продаж'!D27</f>
        <v>2019</v>
      </c>
      <c r="Q26" s="67">
        <f t="shared" si="3"/>
        <v>39000</v>
      </c>
      <c r="R26" s="67">
        <f t="shared" si="3"/>
        <v>39000</v>
      </c>
      <c r="S26" s="67">
        <f t="shared" si="17"/>
        <v>0</v>
      </c>
      <c r="T26" s="67">
        <f t="shared" si="17"/>
        <v>0</v>
      </c>
      <c r="U26" s="67">
        <f t="shared" si="4"/>
        <v>526500</v>
      </c>
      <c r="V26" s="67">
        <f t="shared" si="5"/>
        <v>604500</v>
      </c>
      <c r="W26" s="67">
        <f t="shared" si="6"/>
        <v>465000</v>
      </c>
      <c r="X26" s="67">
        <f t="shared" si="1"/>
        <v>0</v>
      </c>
      <c r="Y26" s="67">
        <f t="shared" si="7"/>
        <v>139500</v>
      </c>
      <c r="Z26" s="67">
        <f t="shared" si="2"/>
        <v>604500</v>
      </c>
    </row>
    <row r="27" spans="2:26" x14ac:dyDescent="0.25">
      <c r="O27" s="67">
        <f>'План продаж'!B28</f>
        <v>22</v>
      </c>
      <c r="P27" s="67">
        <f>'План продаж'!D28</f>
        <v>2019</v>
      </c>
      <c r="Q27" s="67">
        <f t="shared" si="3"/>
        <v>39000</v>
      </c>
      <c r="R27" s="67">
        <f t="shared" si="3"/>
        <v>39000</v>
      </c>
      <c r="S27" s="67">
        <f t="shared" si="17"/>
        <v>0</v>
      </c>
      <c r="T27" s="67">
        <f t="shared" si="17"/>
        <v>0</v>
      </c>
      <c r="U27" s="67">
        <f t="shared" si="4"/>
        <v>526500</v>
      </c>
      <c r="V27" s="67">
        <f t="shared" si="5"/>
        <v>604500</v>
      </c>
      <c r="W27" s="67">
        <f t="shared" si="6"/>
        <v>465000</v>
      </c>
      <c r="X27" s="67">
        <f t="shared" si="1"/>
        <v>0</v>
      </c>
      <c r="Y27" s="67">
        <f t="shared" si="7"/>
        <v>139500</v>
      </c>
      <c r="Z27" s="67">
        <f t="shared" si="2"/>
        <v>604500</v>
      </c>
    </row>
    <row r="28" spans="2:26" x14ac:dyDescent="0.25">
      <c r="O28" s="67">
        <f>'План продаж'!B29</f>
        <v>23</v>
      </c>
      <c r="P28" s="67">
        <f>'План продаж'!D29</f>
        <v>2020</v>
      </c>
      <c r="Q28" s="67">
        <f t="shared" si="3"/>
        <v>39000</v>
      </c>
      <c r="R28" s="67">
        <f t="shared" si="3"/>
        <v>39000</v>
      </c>
      <c r="S28" s="67">
        <f t="shared" si="17"/>
        <v>0</v>
      </c>
      <c r="T28" s="67">
        <f t="shared" si="17"/>
        <v>0</v>
      </c>
      <c r="U28" s="67">
        <f t="shared" si="4"/>
        <v>526500</v>
      </c>
      <c r="V28" s="67">
        <f t="shared" si="5"/>
        <v>604500</v>
      </c>
      <c r="W28" s="67">
        <f t="shared" si="6"/>
        <v>465000</v>
      </c>
      <c r="X28" s="67">
        <f t="shared" si="1"/>
        <v>0</v>
      </c>
      <c r="Y28" s="67">
        <f t="shared" si="7"/>
        <v>139500</v>
      </c>
      <c r="Z28" s="67">
        <f t="shared" si="2"/>
        <v>604500</v>
      </c>
    </row>
    <row r="29" spans="2:26" x14ac:dyDescent="0.25">
      <c r="O29" s="67">
        <f>'План продаж'!B30</f>
        <v>24</v>
      </c>
      <c r="P29" s="67">
        <f>'План продаж'!D30</f>
        <v>2020</v>
      </c>
      <c r="Q29" s="67">
        <f t="shared" si="3"/>
        <v>39000</v>
      </c>
      <c r="R29" s="67">
        <f t="shared" si="3"/>
        <v>39000</v>
      </c>
      <c r="S29" s="67">
        <f t="shared" si="17"/>
        <v>0</v>
      </c>
      <c r="T29" s="67">
        <f t="shared" si="17"/>
        <v>0</v>
      </c>
      <c r="U29" s="67">
        <f t="shared" si="4"/>
        <v>526500</v>
      </c>
      <c r="V29" s="67">
        <f t="shared" si="5"/>
        <v>604500</v>
      </c>
      <c r="W29" s="67">
        <f t="shared" si="6"/>
        <v>465000</v>
      </c>
      <c r="X29" s="67">
        <f t="shared" si="1"/>
        <v>0</v>
      </c>
      <c r="Y29" s="67">
        <f t="shared" si="7"/>
        <v>139500</v>
      </c>
      <c r="Z29" s="67">
        <f t="shared" si="2"/>
        <v>604500</v>
      </c>
    </row>
    <row r="30" spans="2:26" x14ac:dyDescent="0.25">
      <c r="O30" s="67">
        <f>'План продаж'!B31</f>
        <v>25</v>
      </c>
      <c r="P30" s="67">
        <f>'План продаж'!D31</f>
        <v>2020</v>
      </c>
      <c r="Q30" s="67">
        <f t="shared" si="3"/>
        <v>39000</v>
      </c>
      <c r="R30" s="67">
        <f t="shared" si="3"/>
        <v>39000</v>
      </c>
      <c r="S30" s="67">
        <f t="shared" si="17"/>
        <v>0</v>
      </c>
      <c r="T30" s="67">
        <f t="shared" si="17"/>
        <v>0</v>
      </c>
      <c r="U30" s="67">
        <f t="shared" si="4"/>
        <v>526500</v>
      </c>
      <c r="V30" s="67">
        <f t="shared" si="5"/>
        <v>604500</v>
      </c>
      <c r="W30" s="67">
        <f t="shared" si="6"/>
        <v>465000</v>
      </c>
      <c r="X30" s="67">
        <f t="shared" si="1"/>
        <v>0</v>
      </c>
      <c r="Y30" s="67">
        <f t="shared" si="7"/>
        <v>139500</v>
      </c>
      <c r="Z30" s="67">
        <f t="shared" si="2"/>
        <v>604500</v>
      </c>
    </row>
    <row r="31" spans="2:26" x14ac:dyDescent="0.25">
      <c r="O31" s="67">
        <f>'План продаж'!B32</f>
        <v>26</v>
      </c>
      <c r="P31" s="67">
        <f>'План продаж'!D32</f>
        <v>2020</v>
      </c>
      <c r="Q31" s="67">
        <f t="shared" si="3"/>
        <v>39000</v>
      </c>
      <c r="R31" s="67">
        <f t="shared" si="3"/>
        <v>39000</v>
      </c>
      <c r="S31" s="67">
        <f t="shared" si="17"/>
        <v>0</v>
      </c>
      <c r="T31" s="67">
        <f t="shared" si="17"/>
        <v>0</v>
      </c>
      <c r="U31" s="67">
        <f t="shared" si="4"/>
        <v>526500</v>
      </c>
      <c r="V31" s="67">
        <f t="shared" si="5"/>
        <v>604500</v>
      </c>
      <c r="W31" s="67">
        <f t="shared" si="6"/>
        <v>465000</v>
      </c>
      <c r="X31" s="67">
        <f t="shared" si="1"/>
        <v>0</v>
      </c>
      <c r="Y31" s="67">
        <f t="shared" si="7"/>
        <v>139500</v>
      </c>
      <c r="Z31" s="67">
        <f t="shared" si="2"/>
        <v>604500</v>
      </c>
    </row>
    <row r="32" spans="2:26" x14ac:dyDescent="0.25">
      <c r="O32" s="67">
        <f>'План продаж'!B33</f>
        <v>27</v>
      </c>
      <c r="P32" s="67">
        <f>'План продаж'!D33</f>
        <v>2020</v>
      </c>
      <c r="Q32" s="67">
        <f t="shared" si="3"/>
        <v>39000</v>
      </c>
      <c r="R32" s="67">
        <f t="shared" si="3"/>
        <v>39000</v>
      </c>
      <c r="S32" s="67">
        <f t="shared" si="17"/>
        <v>0</v>
      </c>
      <c r="T32" s="67">
        <f t="shared" si="17"/>
        <v>0</v>
      </c>
      <c r="U32" s="67">
        <f t="shared" si="4"/>
        <v>526500</v>
      </c>
      <c r="V32" s="67">
        <f t="shared" si="5"/>
        <v>604500</v>
      </c>
      <c r="W32" s="67">
        <f t="shared" si="6"/>
        <v>465000</v>
      </c>
      <c r="X32" s="67">
        <f t="shared" si="1"/>
        <v>0</v>
      </c>
      <c r="Y32" s="67">
        <f t="shared" si="7"/>
        <v>139500</v>
      </c>
      <c r="Z32" s="67">
        <f t="shared" si="2"/>
        <v>604500</v>
      </c>
    </row>
    <row r="33" spans="15:26" x14ac:dyDescent="0.25">
      <c r="O33" s="67">
        <f>'План продаж'!B34</f>
        <v>28</v>
      </c>
      <c r="P33" s="67">
        <f>'План продаж'!D34</f>
        <v>2020</v>
      </c>
      <c r="Q33" s="67">
        <f t="shared" si="3"/>
        <v>39000</v>
      </c>
      <c r="R33" s="67">
        <f t="shared" si="3"/>
        <v>39000</v>
      </c>
      <c r="S33" s="67">
        <f t="shared" si="17"/>
        <v>0</v>
      </c>
      <c r="T33" s="67">
        <f t="shared" si="17"/>
        <v>0</v>
      </c>
      <c r="U33" s="67">
        <f t="shared" si="4"/>
        <v>526500</v>
      </c>
      <c r="V33" s="67">
        <f t="shared" si="5"/>
        <v>604500</v>
      </c>
      <c r="W33" s="67">
        <f t="shared" si="6"/>
        <v>465000</v>
      </c>
      <c r="X33" s="67">
        <f t="shared" si="1"/>
        <v>0</v>
      </c>
      <c r="Y33" s="67">
        <f t="shared" si="7"/>
        <v>139500</v>
      </c>
      <c r="Z33" s="67">
        <f t="shared" si="2"/>
        <v>604500</v>
      </c>
    </row>
    <row r="34" spans="15:26" x14ac:dyDescent="0.25">
      <c r="O34" s="67">
        <f>'План продаж'!B35</f>
        <v>29</v>
      </c>
      <c r="P34" s="67">
        <f>'План продаж'!D35</f>
        <v>2020</v>
      </c>
      <c r="Q34" s="67">
        <f t="shared" si="3"/>
        <v>39000</v>
      </c>
      <c r="R34" s="67">
        <f t="shared" si="3"/>
        <v>39000</v>
      </c>
      <c r="S34" s="67">
        <f t="shared" si="17"/>
        <v>0</v>
      </c>
      <c r="T34" s="67">
        <f t="shared" si="17"/>
        <v>0</v>
      </c>
      <c r="U34" s="67">
        <f t="shared" si="4"/>
        <v>526500</v>
      </c>
      <c r="V34" s="67">
        <f t="shared" si="5"/>
        <v>604500</v>
      </c>
      <c r="W34" s="67">
        <f t="shared" si="6"/>
        <v>465000</v>
      </c>
      <c r="X34" s="67">
        <f t="shared" si="1"/>
        <v>0</v>
      </c>
      <c r="Y34" s="67">
        <f t="shared" si="7"/>
        <v>139500</v>
      </c>
      <c r="Z34" s="67">
        <f t="shared" si="2"/>
        <v>604500</v>
      </c>
    </row>
    <row r="35" spans="15:26" x14ac:dyDescent="0.25">
      <c r="O35" s="67">
        <f>'План продаж'!B36</f>
        <v>30</v>
      </c>
      <c r="P35" s="67">
        <f>'План продаж'!D36</f>
        <v>2020</v>
      </c>
      <c r="Q35" s="67">
        <f t="shared" si="3"/>
        <v>39000</v>
      </c>
      <c r="R35" s="67">
        <f t="shared" si="3"/>
        <v>39000</v>
      </c>
      <c r="S35" s="67">
        <f t="shared" si="17"/>
        <v>0</v>
      </c>
      <c r="T35" s="67">
        <f t="shared" si="17"/>
        <v>0</v>
      </c>
      <c r="U35" s="67">
        <f t="shared" si="4"/>
        <v>526500</v>
      </c>
      <c r="V35" s="67">
        <f t="shared" si="5"/>
        <v>604500</v>
      </c>
      <c r="W35" s="67">
        <f t="shared" si="6"/>
        <v>465000</v>
      </c>
      <c r="X35" s="67">
        <f t="shared" si="1"/>
        <v>0</v>
      </c>
      <c r="Y35" s="67">
        <f t="shared" si="7"/>
        <v>139500</v>
      </c>
      <c r="Z35" s="67">
        <f t="shared" si="2"/>
        <v>604500</v>
      </c>
    </row>
    <row r="36" spans="15:26" x14ac:dyDescent="0.25">
      <c r="O36" s="67">
        <f>'План продаж'!B37</f>
        <v>31</v>
      </c>
      <c r="P36" s="67">
        <f>'План продаж'!D37</f>
        <v>2020</v>
      </c>
      <c r="Q36" s="67">
        <f t="shared" si="3"/>
        <v>39000</v>
      </c>
      <c r="R36" s="67">
        <f t="shared" si="3"/>
        <v>39000</v>
      </c>
      <c r="S36" s="67">
        <f t="shared" si="17"/>
        <v>0</v>
      </c>
      <c r="T36" s="67">
        <f t="shared" si="17"/>
        <v>0</v>
      </c>
      <c r="U36" s="67">
        <f t="shared" si="4"/>
        <v>526500</v>
      </c>
      <c r="V36" s="67">
        <f t="shared" si="5"/>
        <v>604500</v>
      </c>
      <c r="W36" s="67">
        <f t="shared" si="6"/>
        <v>465000</v>
      </c>
      <c r="X36" s="67">
        <f t="shared" si="1"/>
        <v>0</v>
      </c>
      <c r="Y36" s="67">
        <f t="shared" si="7"/>
        <v>139500</v>
      </c>
      <c r="Z36" s="67">
        <f t="shared" si="2"/>
        <v>604500</v>
      </c>
    </row>
    <row r="37" spans="15:26" x14ac:dyDescent="0.25">
      <c r="O37" s="67">
        <f>'План продаж'!B38</f>
        <v>32</v>
      </c>
      <c r="P37" s="67">
        <f>'План продаж'!D38</f>
        <v>2020</v>
      </c>
      <c r="Q37" s="67">
        <f t="shared" si="3"/>
        <v>39000</v>
      </c>
      <c r="R37" s="67">
        <f t="shared" si="3"/>
        <v>39000</v>
      </c>
      <c r="S37" s="67">
        <f t="shared" si="17"/>
        <v>0</v>
      </c>
      <c r="T37" s="67">
        <f t="shared" si="17"/>
        <v>0</v>
      </c>
      <c r="U37" s="67">
        <f t="shared" si="4"/>
        <v>526500</v>
      </c>
      <c r="V37" s="67">
        <f t="shared" si="5"/>
        <v>604500</v>
      </c>
      <c r="W37" s="67">
        <f t="shared" si="6"/>
        <v>465000</v>
      </c>
      <c r="X37" s="67">
        <f t="shared" ref="X37:X68" si="18">SUMIFS($K:$K,$G:$G,"&lt;="&amp;$O37,$E:$E,X$4)</f>
        <v>0</v>
      </c>
      <c r="Y37" s="67">
        <f t="shared" si="7"/>
        <v>139500</v>
      </c>
      <c r="Z37" s="67">
        <f t="shared" ref="Z37:Z68" si="19">SUM(W37:Y37)</f>
        <v>604500</v>
      </c>
    </row>
    <row r="38" spans="15:26" x14ac:dyDescent="0.25">
      <c r="O38" s="67">
        <f>'План продаж'!B39</f>
        <v>33</v>
      </c>
      <c r="P38" s="67">
        <f>'План продаж'!D39</f>
        <v>2020</v>
      </c>
      <c r="Q38" s="67">
        <f t="shared" si="3"/>
        <v>39000</v>
      </c>
      <c r="R38" s="67">
        <f t="shared" si="3"/>
        <v>39000</v>
      </c>
      <c r="S38" s="67">
        <f t="shared" si="17"/>
        <v>0</v>
      </c>
      <c r="T38" s="67">
        <f t="shared" si="17"/>
        <v>0</v>
      </c>
      <c r="U38" s="67">
        <f t="shared" si="4"/>
        <v>526500</v>
      </c>
      <c r="V38" s="67">
        <f t="shared" si="5"/>
        <v>604500</v>
      </c>
      <c r="W38" s="67">
        <f t="shared" si="6"/>
        <v>465000</v>
      </c>
      <c r="X38" s="67">
        <f t="shared" si="18"/>
        <v>0</v>
      </c>
      <c r="Y38" s="67">
        <f t="shared" si="7"/>
        <v>139500</v>
      </c>
      <c r="Z38" s="67">
        <f t="shared" si="19"/>
        <v>604500</v>
      </c>
    </row>
    <row r="39" spans="15:26" x14ac:dyDescent="0.25">
      <c r="O39" s="67">
        <f>'План продаж'!B40</f>
        <v>34</v>
      </c>
      <c r="P39" s="67">
        <f>'План продаж'!D40</f>
        <v>2020</v>
      </c>
      <c r="Q39" s="67">
        <f t="shared" si="3"/>
        <v>39000</v>
      </c>
      <c r="R39" s="67">
        <f t="shared" si="3"/>
        <v>39000</v>
      </c>
      <c r="S39" s="67">
        <f t="shared" si="17"/>
        <v>0</v>
      </c>
      <c r="T39" s="67">
        <f t="shared" si="17"/>
        <v>0</v>
      </c>
      <c r="U39" s="67">
        <f t="shared" si="4"/>
        <v>526500</v>
      </c>
      <c r="V39" s="67">
        <f t="shared" si="5"/>
        <v>604500</v>
      </c>
      <c r="W39" s="67">
        <f t="shared" si="6"/>
        <v>465000</v>
      </c>
      <c r="X39" s="67">
        <f t="shared" si="18"/>
        <v>0</v>
      </c>
      <c r="Y39" s="67">
        <f t="shared" si="7"/>
        <v>139500</v>
      </c>
      <c r="Z39" s="67">
        <f t="shared" si="19"/>
        <v>604500</v>
      </c>
    </row>
    <row r="40" spans="15:26" x14ac:dyDescent="0.25">
      <c r="O40" s="67">
        <f>'План продаж'!B41</f>
        <v>35</v>
      </c>
      <c r="P40" s="67">
        <f>'План продаж'!D41</f>
        <v>2021</v>
      </c>
      <c r="Q40" s="67">
        <f t="shared" si="3"/>
        <v>39000</v>
      </c>
      <c r="R40" s="67">
        <f t="shared" si="3"/>
        <v>39000</v>
      </c>
      <c r="S40" s="67">
        <f t="shared" si="17"/>
        <v>0</v>
      </c>
      <c r="T40" s="67">
        <f t="shared" si="17"/>
        <v>0</v>
      </c>
      <c r="U40" s="67">
        <f t="shared" si="4"/>
        <v>526500</v>
      </c>
      <c r="V40" s="67">
        <f t="shared" si="5"/>
        <v>604500</v>
      </c>
      <c r="W40" s="67">
        <f t="shared" si="6"/>
        <v>465000</v>
      </c>
      <c r="X40" s="67">
        <f t="shared" si="18"/>
        <v>0</v>
      </c>
      <c r="Y40" s="67">
        <f t="shared" si="7"/>
        <v>139500</v>
      </c>
      <c r="Z40" s="67">
        <f t="shared" si="19"/>
        <v>604500</v>
      </c>
    </row>
    <row r="41" spans="15:26" x14ac:dyDescent="0.25">
      <c r="O41" s="67">
        <f>'План продаж'!B42</f>
        <v>36</v>
      </c>
      <c r="P41" s="67">
        <f>'План продаж'!D42</f>
        <v>2021</v>
      </c>
      <c r="Q41" s="67">
        <f t="shared" si="3"/>
        <v>39000</v>
      </c>
      <c r="R41" s="67">
        <f t="shared" si="3"/>
        <v>39000</v>
      </c>
      <c r="S41" s="67">
        <f t="shared" si="17"/>
        <v>0</v>
      </c>
      <c r="T41" s="67">
        <f t="shared" si="17"/>
        <v>0</v>
      </c>
      <c r="U41" s="67">
        <f t="shared" si="4"/>
        <v>526500</v>
      </c>
      <c r="V41" s="67">
        <f t="shared" si="5"/>
        <v>604500</v>
      </c>
      <c r="W41" s="67">
        <f t="shared" si="6"/>
        <v>465000</v>
      </c>
      <c r="X41" s="67">
        <f t="shared" si="18"/>
        <v>0</v>
      </c>
      <c r="Y41" s="67">
        <f t="shared" si="7"/>
        <v>139500</v>
      </c>
      <c r="Z41" s="67">
        <f t="shared" si="19"/>
        <v>604500</v>
      </c>
    </row>
    <row r="42" spans="15:26" x14ac:dyDescent="0.25">
      <c r="O42" s="67">
        <f>'План продаж'!B43</f>
        <v>37</v>
      </c>
      <c r="P42" s="67">
        <f>'План продаж'!D43</f>
        <v>2021</v>
      </c>
      <c r="Q42" s="67">
        <f t="shared" si="3"/>
        <v>39000</v>
      </c>
      <c r="R42" s="67">
        <f t="shared" si="3"/>
        <v>39000</v>
      </c>
      <c r="S42" s="67">
        <f t="shared" si="17"/>
        <v>0</v>
      </c>
      <c r="T42" s="67">
        <f t="shared" si="17"/>
        <v>0</v>
      </c>
      <c r="U42" s="67">
        <f t="shared" si="4"/>
        <v>526500</v>
      </c>
      <c r="V42" s="67">
        <f t="shared" si="5"/>
        <v>604500</v>
      </c>
      <c r="W42" s="67">
        <f t="shared" si="6"/>
        <v>465000</v>
      </c>
      <c r="X42" s="67">
        <f t="shared" si="18"/>
        <v>0</v>
      </c>
      <c r="Y42" s="67">
        <f t="shared" si="7"/>
        <v>139500</v>
      </c>
      <c r="Z42" s="67">
        <f t="shared" si="19"/>
        <v>604500</v>
      </c>
    </row>
    <row r="43" spans="15:26" x14ac:dyDescent="0.25">
      <c r="O43" s="67">
        <f>'План продаж'!B44</f>
        <v>38</v>
      </c>
      <c r="P43" s="67">
        <f>'План продаж'!D44</f>
        <v>2021</v>
      </c>
      <c r="Q43" s="67">
        <f t="shared" si="3"/>
        <v>39000</v>
      </c>
      <c r="R43" s="67">
        <f t="shared" si="3"/>
        <v>39000</v>
      </c>
      <c r="S43" s="67">
        <f t="shared" si="17"/>
        <v>0</v>
      </c>
      <c r="T43" s="67">
        <f t="shared" si="17"/>
        <v>0</v>
      </c>
      <c r="U43" s="67">
        <f t="shared" si="4"/>
        <v>526500</v>
      </c>
      <c r="V43" s="67">
        <f t="shared" si="5"/>
        <v>604500</v>
      </c>
      <c r="W43" s="67">
        <f t="shared" si="6"/>
        <v>465000</v>
      </c>
      <c r="X43" s="67">
        <f t="shared" si="18"/>
        <v>0</v>
      </c>
      <c r="Y43" s="67">
        <f t="shared" si="7"/>
        <v>139500</v>
      </c>
      <c r="Z43" s="67">
        <f t="shared" si="19"/>
        <v>604500</v>
      </c>
    </row>
    <row r="44" spans="15:26" x14ac:dyDescent="0.25">
      <c r="O44" s="67">
        <f>'План продаж'!B45</f>
        <v>39</v>
      </c>
      <c r="P44" s="67">
        <f>'План продаж'!D45</f>
        <v>2021</v>
      </c>
      <c r="Q44" s="67">
        <f t="shared" si="3"/>
        <v>39000</v>
      </c>
      <c r="R44" s="67">
        <f t="shared" si="3"/>
        <v>39000</v>
      </c>
      <c r="S44" s="67">
        <f t="shared" si="17"/>
        <v>0</v>
      </c>
      <c r="T44" s="67">
        <f t="shared" si="17"/>
        <v>0</v>
      </c>
      <c r="U44" s="67">
        <f t="shared" si="4"/>
        <v>526500</v>
      </c>
      <c r="V44" s="67">
        <f t="shared" si="5"/>
        <v>604500</v>
      </c>
      <c r="W44" s="67">
        <f t="shared" si="6"/>
        <v>465000</v>
      </c>
      <c r="X44" s="67">
        <f t="shared" si="18"/>
        <v>0</v>
      </c>
      <c r="Y44" s="67">
        <f t="shared" si="7"/>
        <v>139500</v>
      </c>
      <c r="Z44" s="67">
        <f t="shared" si="19"/>
        <v>604500</v>
      </c>
    </row>
    <row r="45" spans="15:26" x14ac:dyDescent="0.25">
      <c r="O45" s="67">
        <f>'План продаж'!B46</f>
        <v>40</v>
      </c>
      <c r="P45" s="67">
        <f>'План продаж'!D46</f>
        <v>2021</v>
      </c>
      <c r="Q45" s="67">
        <f t="shared" si="3"/>
        <v>39000</v>
      </c>
      <c r="R45" s="67">
        <f t="shared" si="3"/>
        <v>39000</v>
      </c>
      <c r="S45" s="67">
        <f t="shared" ref="S45:T64" si="20">SUMIFS($M:$M,$G:$G,"&lt;="&amp;$O45,$E:$E,S$4)</f>
        <v>0</v>
      </c>
      <c r="T45" s="67">
        <f t="shared" si="20"/>
        <v>0</v>
      </c>
      <c r="U45" s="67">
        <f t="shared" si="4"/>
        <v>526500</v>
      </c>
      <c r="V45" s="67">
        <f t="shared" si="5"/>
        <v>604500</v>
      </c>
      <c r="W45" s="67">
        <f t="shared" si="6"/>
        <v>465000</v>
      </c>
      <c r="X45" s="67">
        <f t="shared" si="18"/>
        <v>0</v>
      </c>
      <c r="Y45" s="67">
        <f t="shared" si="7"/>
        <v>139500</v>
      </c>
      <c r="Z45" s="67">
        <f t="shared" si="19"/>
        <v>604500</v>
      </c>
    </row>
    <row r="46" spans="15:26" x14ac:dyDescent="0.25">
      <c r="O46" s="67">
        <f>'План продаж'!B47</f>
        <v>41</v>
      </c>
      <c r="P46" s="67">
        <f>'План продаж'!D47</f>
        <v>2021</v>
      </c>
      <c r="Q46" s="67">
        <f t="shared" si="3"/>
        <v>39000</v>
      </c>
      <c r="R46" s="67">
        <f t="shared" si="3"/>
        <v>39000</v>
      </c>
      <c r="S46" s="67">
        <f t="shared" si="20"/>
        <v>0</v>
      </c>
      <c r="T46" s="67">
        <f t="shared" si="20"/>
        <v>0</v>
      </c>
      <c r="U46" s="67">
        <f t="shared" si="4"/>
        <v>526500</v>
      </c>
      <c r="V46" s="67">
        <f t="shared" si="5"/>
        <v>604500</v>
      </c>
      <c r="W46" s="67">
        <f t="shared" si="6"/>
        <v>465000</v>
      </c>
      <c r="X46" s="67">
        <f t="shared" si="18"/>
        <v>0</v>
      </c>
      <c r="Y46" s="67">
        <f t="shared" si="7"/>
        <v>139500</v>
      </c>
      <c r="Z46" s="67">
        <f t="shared" si="19"/>
        <v>604500</v>
      </c>
    </row>
    <row r="47" spans="15:26" x14ac:dyDescent="0.25">
      <c r="O47" s="67">
        <f>'План продаж'!B48</f>
        <v>42</v>
      </c>
      <c r="P47" s="67">
        <f>'План продаж'!D48</f>
        <v>2021</v>
      </c>
      <c r="Q47" s="67">
        <f t="shared" si="3"/>
        <v>39000</v>
      </c>
      <c r="R47" s="67">
        <f t="shared" si="3"/>
        <v>39000</v>
      </c>
      <c r="S47" s="67">
        <f t="shared" si="20"/>
        <v>0</v>
      </c>
      <c r="T47" s="67">
        <f t="shared" si="20"/>
        <v>0</v>
      </c>
      <c r="U47" s="67">
        <f t="shared" si="4"/>
        <v>526500</v>
      </c>
      <c r="V47" s="67">
        <f t="shared" si="5"/>
        <v>604500</v>
      </c>
      <c r="W47" s="67">
        <f t="shared" si="6"/>
        <v>465000</v>
      </c>
      <c r="X47" s="67">
        <f t="shared" si="18"/>
        <v>0</v>
      </c>
      <c r="Y47" s="67">
        <f t="shared" si="7"/>
        <v>139500</v>
      </c>
      <c r="Z47" s="67">
        <f t="shared" si="19"/>
        <v>604500</v>
      </c>
    </row>
    <row r="48" spans="15:26" x14ac:dyDescent="0.25">
      <c r="O48" s="67">
        <f>'План продаж'!B49</f>
        <v>43</v>
      </c>
      <c r="P48" s="67">
        <f>'План продаж'!D49</f>
        <v>2021</v>
      </c>
      <c r="Q48" s="67">
        <f t="shared" si="3"/>
        <v>39000</v>
      </c>
      <c r="R48" s="67">
        <f t="shared" si="3"/>
        <v>39000</v>
      </c>
      <c r="S48" s="67">
        <f t="shared" si="20"/>
        <v>0</v>
      </c>
      <c r="T48" s="67">
        <f t="shared" si="20"/>
        <v>0</v>
      </c>
      <c r="U48" s="67">
        <f t="shared" si="4"/>
        <v>526500</v>
      </c>
      <c r="V48" s="67">
        <f t="shared" si="5"/>
        <v>604500</v>
      </c>
      <c r="W48" s="67">
        <f t="shared" si="6"/>
        <v>465000</v>
      </c>
      <c r="X48" s="67">
        <f t="shared" si="18"/>
        <v>0</v>
      </c>
      <c r="Y48" s="67">
        <f t="shared" si="7"/>
        <v>139500</v>
      </c>
      <c r="Z48" s="67">
        <f t="shared" si="19"/>
        <v>604500</v>
      </c>
    </row>
    <row r="49" spans="15:26" x14ac:dyDescent="0.25">
      <c r="O49" s="67">
        <f>'План продаж'!B50</f>
        <v>44</v>
      </c>
      <c r="P49" s="67">
        <f>'План продаж'!D50</f>
        <v>2021</v>
      </c>
      <c r="Q49" s="67">
        <f t="shared" si="3"/>
        <v>39000</v>
      </c>
      <c r="R49" s="67">
        <f t="shared" si="3"/>
        <v>39000</v>
      </c>
      <c r="S49" s="67">
        <f t="shared" si="20"/>
        <v>0</v>
      </c>
      <c r="T49" s="67">
        <f t="shared" si="20"/>
        <v>0</v>
      </c>
      <c r="U49" s="67">
        <f t="shared" si="4"/>
        <v>526500</v>
      </c>
      <c r="V49" s="67">
        <f t="shared" si="5"/>
        <v>604500</v>
      </c>
      <c r="W49" s="67">
        <f t="shared" si="6"/>
        <v>465000</v>
      </c>
      <c r="X49" s="67">
        <f t="shared" si="18"/>
        <v>0</v>
      </c>
      <c r="Y49" s="67">
        <f t="shared" si="7"/>
        <v>139500</v>
      </c>
      <c r="Z49" s="67">
        <f t="shared" si="19"/>
        <v>604500</v>
      </c>
    </row>
    <row r="50" spans="15:26" x14ac:dyDescent="0.25">
      <c r="O50" s="67">
        <f>'План продаж'!B51</f>
        <v>45</v>
      </c>
      <c r="P50" s="67">
        <f>'План продаж'!D51</f>
        <v>2021</v>
      </c>
      <c r="Q50" s="67">
        <f t="shared" si="3"/>
        <v>39000</v>
      </c>
      <c r="R50" s="67">
        <f t="shared" si="3"/>
        <v>39000</v>
      </c>
      <c r="S50" s="67">
        <f t="shared" si="20"/>
        <v>0</v>
      </c>
      <c r="T50" s="67">
        <f t="shared" si="20"/>
        <v>0</v>
      </c>
      <c r="U50" s="67">
        <f t="shared" si="4"/>
        <v>526500</v>
      </c>
      <c r="V50" s="67">
        <f t="shared" si="5"/>
        <v>604500</v>
      </c>
      <c r="W50" s="67">
        <f t="shared" si="6"/>
        <v>465000</v>
      </c>
      <c r="X50" s="67">
        <f t="shared" si="18"/>
        <v>0</v>
      </c>
      <c r="Y50" s="67">
        <f t="shared" si="7"/>
        <v>139500</v>
      </c>
      <c r="Z50" s="67">
        <f t="shared" si="19"/>
        <v>604500</v>
      </c>
    </row>
    <row r="51" spans="15:26" x14ac:dyDescent="0.25">
      <c r="O51" s="67">
        <f>'План продаж'!B52</f>
        <v>46</v>
      </c>
      <c r="P51" s="67">
        <f>'План продаж'!D52</f>
        <v>2021</v>
      </c>
      <c r="Q51" s="67">
        <f t="shared" si="3"/>
        <v>39000</v>
      </c>
      <c r="R51" s="67">
        <f t="shared" si="3"/>
        <v>39000</v>
      </c>
      <c r="S51" s="67">
        <f t="shared" si="20"/>
        <v>0</v>
      </c>
      <c r="T51" s="67">
        <f t="shared" si="20"/>
        <v>0</v>
      </c>
      <c r="U51" s="67">
        <f t="shared" si="4"/>
        <v>526500</v>
      </c>
      <c r="V51" s="67">
        <f t="shared" si="5"/>
        <v>604500</v>
      </c>
      <c r="W51" s="67">
        <f t="shared" si="6"/>
        <v>465000</v>
      </c>
      <c r="X51" s="67">
        <f t="shared" si="18"/>
        <v>0</v>
      </c>
      <c r="Y51" s="67">
        <f t="shared" si="7"/>
        <v>139500</v>
      </c>
      <c r="Z51" s="67">
        <f t="shared" si="19"/>
        <v>604500</v>
      </c>
    </row>
    <row r="52" spans="15:26" x14ac:dyDescent="0.25">
      <c r="O52" s="67">
        <f>'План продаж'!B53</f>
        <v>47</v>
      </c>
      <c r="P52" s="67">
        <f>'План продаж'!D53</f>
        <v>2022</v>
      </c>
      <c r="Q52" s="67">
        <f t="shared" si="3"/>
        <v>39000</v>
      </c>
      <c r="R52" s="67">
        <f t="shared" si="3"/>
        <v>39000</v>
      </c>
      <c r="S52" s="67">
        <f t="shared" si="20"/>
        <v>0</v>
      </c>
      <c r="T52" s="67">
        <f t="shared" si="20"/>
        <v>0</v>
      </c>
      <c r="U52" s="67">
        <f t="shared" si="4"/>
        <v>526500</v>
      </c>
      <c r="V52" s="67">
        <f t="shared" si="5"/>
        <v>604500</v>
      </c>
      <c r="W52" s="67">
        <f t="shared" si="6"/>
        <v>465000</v>
      </c>
      <c r="X52" s="67">
        <f t="shared" si="18"/>
        <v>0</v>
      </c>
      <c r="Y52" s="67">
        <f t="shared" si="7"/>
        <v>139500</v>
      </c>
      <c r="Z52" s="67">
        <f t="shared" si="19"/>
        <v>604500</v>
      </c>
    </row>
    <row r="53" spans="15:26" x14ac:dyDescent="0.25">
      <c r="O53" s="67">
        <f>'План продаж'!B54</f>
        <v>48</v>
      </c>
      <c r="P53" s="67">
        <f>'План продаж'!D54</f>
        <v>2022</v>
      </c>
      <c r="Q53" s="67">
        <f t="shared" si="3"/>
        <v>39000</v>
      </c>
      <c r="R53" s="67">
        <f t="shared" si="3"/>
        <v>39000</v>
      </c>
      <c r="S53" s="67">
        <f t="shared" si="20"/>
        <v>0</v>
      </c>
      <c r="T53" s="67">
        <f t="shared" si="20"/>
        <v>0</v>
      </c>
      <c r="U53" s="67">
        <f t="shared" si="4"/>
        <v>526500</v>
      </c>
      <c r="V53" s="67">
        <f t="shared" si="5"/>
        <v>604500</v>
      </c>
      <c r="W53" s="67">
        <f t="shared" si="6"/>
        <v>465000</v>
      </c>
      <c r="X53" s="67">
        <f t="shared" si="18"/>
        <v>0</v>
      </c>
      <c r="Y53" s="67">
        <f t="shared" si="7"/>
        <v>139500</v>
      </c>
      <c r="Z53" s="67">
        <f t="shared" si="19"/>
        <v>604500</v>
      </c>
    </row>
    <row r="54" spans="15:26" x14ac:dyDescent="0.25">
      <c r="O54" s="67">
        <f>'План продаж'!B55</f>
        <v>49</v>
      </c>
      <c r="P54" s="67">
        <f>'План продаж'!D55</f>
        <v>2022</v>
      </c>
      <c r="Q54" s="67">
        <f t="shared" si="3"/>
        <v>39000</v>
      </c>
      <c r="R54" s="67">
        <f t="shared" si="3"/>
        <v>39000</v>
      </c>
      <c r="S54" s="67">
        <f t="shared" si="20"/>
        <v>0</v>
      </c>
      <c r="T54" s="67">
        <f t="shared" si="20"/>
        <v>0</v>
      </c>
      <c r="U54" s="67">
        <f t="shared" si="4"/>
        <v>526500</v>
      </c>
      <c r="V54" s="67">
        <f t="shared" si="5"/>
        <v>604500</v>
      </c>
      <c r="W54" s="67">
        <f t="shared" si="6"/>
        <v>465000</v>
      </c>
      <c r="X54" s="67">
        <f t="shared" si="18"/>
        <v>0</v>
      </c>
      <c r="Y54" s="67">
        <f t="shared" si="7"/>
        <v>139500</v>
      </c>
      <c r="Z54" s="67">
        <f t="shared" si="19"/>
        <v>604500</v>
      </c>
    </row>
    <row r="55" spans="15:26" x14ac:dyDescent="0.25">
      <c r="O55" s="67">
        <f>'План продаж'!B56</f>
        <v>50</v>
      </c>
      <c r="P55" s="67">
        <f>'План продаж'!D56</f>
        <v>2022</v>
      </c>
      <c r="Q55" s="67">
        <f t="shared" si="3"/>
        <v>39000</v>
      </c>
      <c r="R55" s="67">
        <f t="shared" si="3"/>
        <v>39000</v>
      </c>
      <c r="S55" s="67">
        <f t="shared" si="20"/>
        <v>0</v>
      </c>
      <c r="T55" s="67">
        <f t="shared" si="20"/>
        <v>0</v>
      </c>
      <c r="U55" s="67">
        <f t="shared" si="4"/>
        <v>526500</v>
      </c>
      <c r="V55" s="67">
        <f t="shared" si="5"/>
        <v>604500</v>
      </c>
      <c r="W55" s="67">
        <f t="shared" si="6"/>
        <v>465000</v>
      </c>
      <c r="X55" s="67">
        <f t="shared" si="18"/>
        <v>0</v>
      </c>
      <c r="Y55" s="67">
        <f t="shared" si="7"/>
        <v>139500</v>
      </c>
      <c r="Z55" s="67">
        <f t="shared" si="19"/>
        <v>604500</v>
      </c>
    </row>
    <row r="56" spans="15:26" x14ac:dyDescent="0.25">
      <c r="O56" s="67">
        <f>'План продаж'!B57</f>
        <v>51</v>
      </c>
      <c r="P56" s="67">
        <f>'План продаж'!D57</f>
        <v>2022</v>
      </c>
      <c r="Q56" s="67">
        <f t="shared" si="3"/>
        <v>39000</v>
      </c>
      <c r="R56" s="67">
        <f t="shared" si="3"/>
        <v>39000</v>
      </c>
      <c r="S56" s="67">
        <f t="shared" si="20"/>
        <v>0</v>
      </c>
      <c r="T56" s="67">
        <f t="shared" si="20"/>
        <v>0</v>
      </c>
      <c r="U56" s="67">
        <f t="shared" si="4"/>
        <v>526500</v>
      </c>
      <c r="V56" s="67">
        <f t="shared" si="5"/>
        <v>604500</v>
      </c>
      <c r="W56" s="67">
        <f t="shared" si="6"/>
        <v>465000</v>
      </c>
      <c r="X56" s="67">
        <f t="shared" si="18"/>
        <v>0</v>
      </c>
      <c r="Y56" s="67">
        <f t="shared" si="7"/>
        <v>139500</v>
      </c>
      <c r="Z56" s="67">
        <f t="shared" si="19"/>
        <v>604500</v>
      </c>
    </row>
    <row r="57" spans="15:26" x14ac:dyDescent="0.25">
      <c r="O57" s="67">
        <f>'План продаж'!B58</f>
        <v>52</v>
      </c>
      <c r="P57" s="67">
        <f>'План продаж'!D58</f>
        <v>2022</v>
      </c>
      <c r="Q57" s="67">
        <f t="shared" si="3"/>
        <v>39000</v>
      </c>
      <c r="R57" s="67">
        <f t="shared" si="3"/>
        <v>39000</v>
      </c>
      <c r="S57" s="67">
        <f t="shared" si="20"/>
        <v>0</v>
      </c>
      <c r="T57" s="67">
        <f t="shared" si="20"/>
        <v>0</v>
      </c>
      <c r="U57" s="67">
        <f t="shared" si="4"/>
        <v>526500</v>
      </c>
      <c r="V57" s="67">
        <f t="shared" si="5"/>
        <v>604500</v>
      </c>
      <c r="W57" s="67">
        <f t="shared" si="6"/>
        <v>465000</v>
      </c>
      <c r="X57" s="67">
        <f t="shared" si="18"/>
        <v>0</v>
      </c>
      <c r="Y57" s="67">
        <f t="shared" si="7"/>
        <v>139500</v>
      </c>
      <c r="Z57" s="67">
        <f t="shared" si="19"/>
        <v>604500</v>
      </c>
    </row>
    <row r="58" spans="15:26" x14ac:dyDescent="0.25">
      <c r="O58" s="67">
        <f>'План продаж'!B59</f>
        <v>53</v>
      </c>
      <c r="P58" s="67">
        <f>'План продаж'!D59</f>
        <v>2022</v>
      </c>
      <c r="Q58" s="67">
        <f t="shared" si="3"/>
        <v>39000</v>
      </c>
      <c r="R58" s="67">
        <f t="shared" si="3"/>
        <v>39000</v>
      </c>
      <c r="S58" s="67">
        <f t="shared" si="20"/>
        <v>0</v>
      </c>
      <c r="T58" s="67">
        <f t="shared" si="20"/>
        <v>0</v>
      </c>
      <c r="U58" s="67">
        <f t="shared" si="4"/>
        <v>526500</v>
      </c>
      <c r="V58" s="67">
        <f t="shared" si="5"/>
        <v>604500</v>
      </c>
      <c r="W58" s="67">
        <f t="shared" si="6"/>
        <v>465000</v>
      </c>
      <c r="X58" s="67">
        <f t="shared" si="18"/>
        <v>0</v>
      </c>
      <c r="Y58" s="67">
        <f t="shared" si="7"/>
        <v>139500</v>
      </c>
      <c r="Z58" s="67">
        <f t="shared" si="19"/>
        <v>604500</v>
      </c>
    </row>
    <row r="59" spans="15:26" x14ac:dyDescent="0.25">
      <c r="O59" s="67">
        <f>'План продаж'!B60</f>
        <v>54</v>
      </c>
      <c r="P59" s="67">
        <f>'План продаж'!D60</f>
        <v>2022</v>
      </c>
      <c r="Q59" s="67">
        <f t="shared" si="3"/>
        <v>39000</v>
      </c>
      <c r="R59" s="67">
        <f t="shared" si="3"/>
        <v>39000</v>
      </c>
      <c r="S59" s="67">
        <f t="shared" si="20"/>
        <v>0</v>
      </c>
      <c r="T59" s="67">
        <f t="shared" si="20"/>
        <v>0</v>
      </c>
      <c r="U59" s="67">
        <f t="shared" si="4"/>
        <v>526500</v>
      </c>
      <c r="V59" s="67">
        <f t="shared" si="5"/>
        <v>604500</v>
      </c>
      <c r="W59" s="67">
        <f t="shared" si="6"/>
        <v>465000</v>
      </c>
      <c r="X59" s="67">
        <f t="shared" si="18"/>
        <v>0</v>
      </c>
      <c r="Y59" s="67">
        <f t="shared" si="7"/>
        <v>139500</v>
      </c>
      <c r="Z59" s="67">
        <f t="shared" si="19"/>
        <v>604500</v>
      </c>
    </row>
    <row r="60" spans="15:26" x14ac:dyDescent="0.25">
      <c r="O60" s="67">
        <f>'План продаж'!B61</f>
        <v>55</v>
      </c>
      <c r="P60" s="67">
        <f>'План продаж'!D61</f>
        <v>2022</v>
      </c>
      <c r="Q60" s="67">
        <f t="shared" si="3"/>
        <v>39000</v>
      </c>
      <c r="R60" s="67">
        <f t="shared" si="3"/>
        <v>39000</v>
      </c>
      <c r="S60" s="67">
        <f t="shared" si="20"/>
        <v>0</v>
      </c>
      <c r="T60" s="67">
        <f t="shared" si="20"/>
        <v>0</v>
      </c>
      <c r="U60" s="67">
        <f t="shared" si="4"/>
        <v>526500</v>
      </c>
      <c r="V60" s="67">
        <f t="shared" si="5"/>
        <v>604500</v>
      </c>
      <c r="W60" s="67">
        <f t="shared" si="6"/>
        <v>465000</v>
      </c>
      <c r="X60" s="67">
        <f t="shared" si="18"/>
        <v>0</v>
      </c>
      <c r="Y60" s="67">
        <f t="shared" si="7"/>
        <v>139500</v>
      </c>
      <c r="Z60" s="67">
        <f t="shared" si="19"/>
        <v>604500</v>
      </c>
    </row>
    <row r="61" spans="15:26" x14ac:dyDescent="0.25">
      <c r="O61" s="67">
        <f>'План продаж'!B62</f>
        <v>56</v>
      </c>
      <c r="P61" s="67">
        <f>'План продаж'!D62</f>
        <v>2022</v>
      </c>
      <c r="Q61" s="67">
        <f t="shared" si="3"/>
        <v>39000</v>
      </c>
      <c r="R61" s="67">
        <f t="shared" si="3"/>
        <v>39000</v>
      </c>
      <c r="S61" s="67">
        <f t="shared" si="20"/>
        <v>0</v>
      </c>
      <c r="T61" s="67">
        <f t="shared" si="20"/>
        <v>0</v>
      </c>
      <c r="U61" s="67">
        <f t="shared" si="4"/>
        <v>526500</v>
      </c>
      <c r="V61" s="67">
        <f t="shared" si="5"/>
        <v>604500</v>
      </c>
      <c r="W61" s="67">
        <f t="shared" si="6"/>
        <v>465000</v>
      </c>
      <c r="X61" s="67">
        <f t="shared" si="18"/>
        <v>0</v>
      </c>
      <c r="Y61" s="67">
        <f t="shared" si="7"/>
        <v>139500</v>
      </c>
      <c r="Z61" s="67">
        <f t="shared" si="19"/>
        <v>604500</v>
      </c>
    </row>
    <row r="62" spans="15:26" x14ac:dyDescent="0.25">
      <c r="O62" s="67">
        <f>'План продаж'!B63</f>
        <v>57</v>
      </c>
      <c r="P62" s="67">
        <f>'План продаж'!D63</f>
        <v>2022</v>
      </c>
      <c r="Q62" s="67">
        <f t="shared" si="3"/>
        <v>39000</v>
      </c>
      <c r="R62" s="67">
        <f t="shared" si="3"/>
        <v>39000</v>
      </c>
      <c r="S62" s="67">
        <f t="shared" si="20"/>
        <v>0</v>
      </c>
      <c r="T62" s="67">
        <f t="shared" si="20"/>
        <v>0</v>
      </c>
      <c r="U62" s="67">
        <f t="shared" si="4"/>
        <v>526500</v>
      </c>
      <c r="V62" s="67">
        <f t="shared" si="5"/>
        <v>604500</v>
      </c>
      <c r="W62" s="67">
        <f t="shared" si="6"/>
        <v>465000</v>
      </c>
      <c r="X62" s="67">
        <f t="shared" si="18"/>
        <v>0</v>
      </c>
      <c r="Y62" s="67">
        <f t="shared" si="7"/>
        <v>139500</v>
      </c>
      <c r="Z62" s="67">
        <f t="shared" si="19"/>
        <v>604500</v>
      </c>
    </row>
    <row r="63" spans="15:26" x14ac:dyDescent="0.25">
      <c r="O63" s="67">
        <f>'План продаж'!B64</f>
        <v>58</v>
      </c>
      <c r="P63" s="67">
        <f>'План продаж'!D64</f>
        <v>2022</v>
      </c>
      <c r="Q63" s="67">
        <f t="shared" si="3"/>
        <v>39000</v>
      </c>
      <c r="R63" s="67">
        <f t="shared" si="3"/>
        <v>39000</v>
      </c>
      <c r="S63" s="67">
        <f t="shared" si="20"/>
        <v>0</v>
      </c>
      <c r="T63" s="67">
        <f t="shared" si="20"/>
        <v>0</v>
      </c>
      <c r="U63" s="67">
        <f t="shared" si="4"/>
        <v>526500</v>
      </c>
      <c r="V63" s="67">
        <f t="shared" si="5"/>
        <v>604500</v>
      </c>
      <c r="W63" s="67">
        <f t="shared" si="6"/>
        <v>465000</v>
      </c>
      <c r="X63" s="67">
        <f t="shared" si="18"/>
        <v>0</v>
      </c>
      <c r="Y63" s="67">
        <f t="shared" si="7"/>
        <v>139500</v>
      </c>
      <c r="Z63" s="67">
        <f t="shared" si="19"/>
        <v>604500</v>
      </c>
    </row>
    <row r="64" spans="15:26" x14ac:dyDescent="0.25">
      <c r="O64" s="67">
        <f>'План продаж'!B65</f>
        <v>59</v>
      </c>
      <c r="P64" s="67">
        <f>'План продаж'!D65</f>
        <v>2023</v>
      </c>
      <c r="Q64" s="67">
        <f t="shared" si="3"/>
        <v>39000</v>
      </c>
      <c r="R64" s="67">
        <f t="shared" si="3"/>
        <v>39000</v>
      </c>
      <c r="S64" s="67">
        <f t="shared" si="20"/>
        <v>0</v>
      </c>
      <c r="T64" s="67">
        <f t="shared" si="20"/>
        <v>0</v>
      </c>
      <c r="U64" s="67">
        <f t="shared" si="4"/>
        <v>526500</v>
      </c>
      <c r="V64" s="67">
        <f t="shared" si="5"/>
        <v>604500</v>
      </c>
      <c r="W64" s="67">
        <f t="shared" si="6"/>
        <v>465000</v>
      </c>
      <c r="X64" s="67">
        <f t="shared" si="18"/>
        <v>0</v>
      </c>
      <c r="Y64" s="67">
        <f t="shared" si="7"/>
        <v>139500</v>
      </c>
      <c r="Z64" s="67">
        <f t="shared" si="19"/>
        <v>604500</v>
      </c>
    </row>
    <row r="65" spans="15:26" x14ac:dyDescent="0.25">
      <c r="O65" s="67">
        <f>'План продаж'!B66</f>
        <v>60</v>
      </c>
      <c r="P65" s="67">
        <f>'План продаж'!D66</f>
        <v>2023</v>
      </c>
      <c r="Q65" s="67">
        <f t="shared" si="3"/>
        <v>39000</v>
      </c>
      <c r="R65" s="67">
        <f t="shared" si="3"/>
        <v>39000</v>
      </c>
      <c r="S65" s="67">
        <f t="shared" ref="S65:T84" si="21">SUMIFS($M:$M,$G:$G,"&lt;="&amp;$O65,$E:$E,S$4)</f>
        <v>0</v>
      </c>
      <c r="T65" s="67">
        <f t="shared" si="21"/>
        <v>0</v>
      </c>
      <c r="U65" s="67">
        <f t="shared" si="4"/>
        <v>526500</v>
      </c>
      <c r="V65" s="67">
        <f t="shared" si="5"/>
        <v>604500</v>
      </c>
      <c r="W65" s="67">
        <f t="shared" si="6"/>
        <v>465000</v>
      </c>
      <c r="X65" s="67">
        <f t="shared" si="18"/>
        <v>0</v>
      </c>
      <c r="Y65" s="67">
        <f t="shared" si="7"/>
        <v>139500</v>
      </c>
      <c r="Z65" s="67">
        <f t="shared" si="19"/>
        <v>604500</v>
      </c>
    </row>
    <row r="66" spans="15:26" x14ac:dyDescent="0.25">
      <c r="O66" s="67">
        <f>'Пропускная способность'!C96</f>
        <v>0</v>
      </c>
      <c r="P66" s="67">
        <f>'Пропускная способность'!E96</f>
        <v>0</v>
      </c>
      <c r="Q66" s="67">
        <f t="shared" si="3"/>
        <v>0</v>
      </c>
      <c r="R66" s="67">
        <f t="shared" si="3"/>
        <v>0</v>
      </c>
      <c r="S66" s="67">
        <f t="shared" si="21"/>
        <v>0</v>
      </c>
      <c r="T66" s="67">
        <f t="shared" si="21"/>
        <v>0</v>
      </c>
      <c r="U66" s="67">
        <f t="shared" si="4"/>
        <v>0</v>
      </c>
      <c r="V66" s="67">
        <f t="shared" si="5"/>
        <v>0</v>
      </c>
      <c r="W66" s="67">
        <f t="shared" si="6"/>
        <v>0</v>
      </c>
      <c r="X66" s="67">
        <f t="shared" si="18"/>
        <v>0</v>
      </c>
      <c r="Y66" s="67">
        <f t="shared" si="7"/>
        <v>0</v>
      </c>
      <c r="Z66" s="67">
        <f t="shared" si="19"/>
        <v>0</v>
      </c>
    </row>
    <row r="67" spans="15:26" x14ac:dyDescent="0.25">
      <c r="O67" s="67">
        <f>'Пропускная способность'!C97</f>
        <v>0</v>
      </c>
      <c r="P67" s="67">
        <f>'Пропускная способность'!E97</f>
        <v>0</v>
      </c>
      <c r="Q67" s="67">
        <f t="shared" si="3"/>
        <v>0</v>
      </c>
      <c r="R67" s="67">
        <f t="shared" si="3"/>
        <v>0</v>
      </c>
      <c r="S67" s="67">
        <f t="shared" si="21"/>
        <v>0</v>
      </c>
      <c r="T67" s="67">
        <f t="shared" si="21"/>
        <v>0</v>
      </c>
      <c r="U67" s="67">
        <f t="shared" si="4"/>
        <v>0</v>
      </c>
      <c r="V67" s="67">
        <f t="shared" si="5"/>
        <v>0</v>
      </c>
      <c r="W67" s="67">
        <f t="shared" si="6"/>
        <v>0</v>
      </c>
      <c r="X67" s="67">
        <f t="shared" si="18"/>
        <v>0</v>
      </c>
      <c r="Y67" s="67">
        <f t="shared" si="7"/>
        <v>0</v>
      </c>
      <c r="Z67" s="67">
        <f t="shared" si="19"/>
        <v>0</v>
      </c>
    </row>
    <row r="68" spans="15:26" x14ac:dyDescent="0.25">
      <c r="O68" s="67">
        <f>'Пропускная способность'!C98</f>
        <v>0</v>
      </c>
      <c r="P68" s="67">
        <f>'Пропускная способность'!E98</f>
        <v>0</v>
      </c>
      <c r="Q68" s="67">
        <f t="shared" si="3"/>
        <v>0</v>
      </c>
      <c r="R68" s="67">
        <f t="shared" si="3"/>
        <v>0</v>
      </c>
      <c r="S68" s="67">
        <f t="shared" si="21"/>
        <v>0</v>
      </c>
      <c r="T68" s="67">
        <f t="shared" si="21"/>
        <v>0</v>
      </c>
      <c r="U68" s="67">
        <f t="shared" si="4"/>
        <v>0</v>
      </c>
      <c r="V68" s="67">
        <f t="shared" si="5"/>
        <v>0</v>
      </c>
      <c r="W68" s="67">
        <f t="shared" si="6"/>
        <v>0</v>
      </c>
      <c r="X68" s="67">
        <f t="shared" si="18"/>
        <v>0</v>
      </c>
      <c r="Y68" s="67">
        <f t="shared" si="7"/>
        <v>0</v>
      </c>
      <c r="Z68" s="67">
        <f t="shared" si="19"/>
        <v>0</v>
      </c>
    </row>
    <row r="69" spans="15:26" x14ac:dyDescent="0.25">
      <c r="O69" s="67">
        <f>'Пропускная способность'!C99</f>
        <v>0</v>
      </c>
      <c r="P69" s="67">
        <f>'Пропускная способность'!E99</f>
        <v>0</v>
      </c>
      <c r="Q69" s="67">
        <f t="shared" si="3"/>
        <v>0</v>
      </c>
      <c r="R69" s="67">
        <f t="shared" si="3"/>
        <v>0</v>
      </c>
      <c r="S69" s="67">
        <f t="shared" si="21"/>
        <v>0</v>
      </c>
      <c r="T69" s="67">
        <f t="shared" si="21"/>
        <v>0</v>
      </c>
      <c r="U69" s="67">
        <f t="shared" si="4"/>
        <v>0</v>
      </c>
      <c r="V69" s="67">
        <f t="shared" si="5"/>
        <v>0</v>
      </c>
      <c r="W69" s="67">
        <f t="shared" si="6"/>
        <v>0</v>
      </c>
      <c r="X69" s="67">
        <f t="shared" ref="X69:X100" si="22">SUMIFS($K:$K,$G:$G,"&lt;="&amp;$O69,$E:$E,X$4)</f>
        <v>0</v>
      </c>
      <c r="Y69" s="67">
        <f t="shared" si="7"/>
        <v>0</v>
      </c>
      <c r="Z69" s="67">
        <f t="shared" ref="Z69:Z100" si="23">SUM(W69:Y69)</f>
        <v>0</v>
      </c>
    </row>
    <row r="70" spans="15:26" x14ac:dyDescent="0.25">
      <c r="O70" s="67">
        <f>'Пропускная способность'!C100</f>
        <v>0</v>
      </c>
      <c r="P70" s="67">
        <f>'Пропускная способность'!E100</f>
        <v>0</v>
      </c>
      <c r="Q70" s="67">
        <f t="shared" ref="Q70:R129" si="24">SUMIFS($K:$K,$G:$G,"&lt;="&amp;$O70,$E:$E,Q$4)+SUMIFS($L:$L,$G:$G,"&lt;="&amp;$O70,$E:$E,Q$4)</f>
        <v>0</v>
      </c>
      <c r="R70" s="67">
        <f t="shared" si="24"/>
        <v>0</v>
      </c>
      <c r="S70" s="67">
        <f t="shared" si="21"/>
        <v>0</v>
      </c>
      <c r="T70" s="67">
        <f t="shared" si="21"/>
        <v>0</v>
      </c>
      <c r="U70" s="67">
        <f t="shared" ref="U70:U129" si="25">SUMIFS($K:$K,$G:$G,"&lt;="&amp;$O70,$E:$E,U$4)+SUMIFS($L:$L,$G:$G,"&lt;="&amp;$O70,$E:$E,U$4)</f>
        <v>0</v>
      </c>
      <c r="V70" s="67">
        <f t="shared" ref="V70:V129" si="26">SUM(Q70:U70)</f>
        <v>0</v>
      </c>
      <c r="W70" s="67">
        <f t="shared" ref="W70:W129" si="27">SUMIFS($K:$K,$G:$G,"&lt;="&amp;$O70)</f>
        <v>0</v>
      </c>
      <c r="X70" s="67">
        <f t="shared" si="22"/>
        <v>0</v>
      </c>
      <c r="Y70" s="67">
        <f t="shared" ref="Y70:Y129" si="28">SUMIFS($L:$L,$G:$G,"&lt;="&amp;$O70)</f>
        <v>0</v>
      </c>
      <c r="Z70" s="67">
        <f t="shared" si="23"/>
        <v>0</v>
      </c>
    </row>
    <row r="71" spans="15:26" x14ac:dyDescent="0.25">
      <c r="O71" s="67">
        <f>'Пропускная способность'!C101</f>
        <v>0</v>
      </c>
      <c r="P71" s="67">
        <f>'Пропускная способность'!E101</f>
        <v>0</v>
      </c>
      <c r="Q71" s="67">
        <f t="shared" si="24"/>
        <v>0</v>
      </c>
      <c r="R71" s="67">
        <f t="shared" si="24"/>
        <v>0</v>
      </c>
      <c r="S71" s="67">
        <f t="shared" si="21"/>
        <v>0</v>
      </c>
      <c r="T71" s="67">
        <f t="shared" si="21"/>
        <v>0</v>
      </c>
      <c r="U71" s="67">
        <f t="shared" si="25"/>
        <v>0</v>
      </c>
      <c r="V71" s="67">
        <f t="shared" si="26"/>
        <v>0</v>
      </c>
      <c r="W71" s="67">
        <f t="shared" si="27"/>
        <v>0</v>
      </c>
      <c r="X71" s="67">
        <f t="shared" si="22"/>
        <v>0</v>
      </c>
      <c r="Y71" s="67">
        <f t="shared" si="28"/>
        <v>0</v>
      </c>
      <c r="Z71" s="67">
        <f t="shared" si="23"/>
        <v>0</v>
      </c>
    </row>
    <row r="72" spans="15:26" x14ac:dyDescent="0.25">
      <c r="O72" s="67">
        <f>'Пропускная способность'!C102</f>
        <v>0</v>
      </c>
      <c r="P72" s="67">
        <f>'Пропускная способность'!E102</f>
        <v>0</v>
      </c>
      <c r="Q72" s="67">
        <f t="shared" si="24"/>
        <v>0</v>
      </c>
      <c r="R72" s="67">
        <f t="shared" si="24"/>
        <v>0</v>
      </c>
      <c r="S72" s="67">
        <f t="shared" si="21"/>
        <v>0</v>
      </c>
      <c r="T72" s="67">
        <f t="shared" si="21"/>
        <v>0</v>
      </c>
      <c r="U72" s="67">
        <f t="shared" si="25"/>
        <v>0</v>
      </c>
      <c r="V72" s="67">
        <f t="shared" si="26"/>
        <v>0</v>
      </c>
      <c r="W72" s="67">
        <f t="shared" si="27"/>
        <v>0</v>
      </c>
      <c r="X72" s="67">
        <f t="shared" si="22"/>
        <v>0</v>
      </c>
      <c r="Y72" s="67">
        <f t="shared" si="28"/>
        <v>0</v>
      </c>
      <c r="Z72" s="67">
        <f t="shared" si="23"/>
        <v>0</v>
      </c>
    </row>
    <row r="73" spans="15:26" x14ac:dyDescent="0.25">
      <c r="O73" s="67">
        <f>'Пропускная способность'!C103</f>
        <v>0</v>
      </c>
      <c r="P73" s="67">
        <f>'Пропускная способность'!E103</f>
        <v>0</v>
      </c>
      <c r="Q73" s="67">
        <f t="shared" si="24"/>
        <v>0</v>
      </c>
      <c r="R73" s="67">
        <f t="shared" si="24"/>
        <v>0</v>
      </c>
      <c r="S73" s="67">
        <f t="shared" si="21"/>
        <v>0</v>
      </c>
      <c r="T73" s="67">
        <f t="shared" si="21"/>
        <v>0</v>
      </c>
      <c r="U73" s="67">
        <f t="shared" si="25"/>
        <v>0</v>
      </c>
      <c r="V73" s="67">
        <f t="shared" si="26"/>
        <v>0</v>
      </c>
      <c r="W73" s="67">
        <f t="shared" si="27"/>
        <v>0</v>
      </c>
      <c r="X73" s="67">
        <f t="shared" si="22"/>
        <v>0</v>
      </c>
      <c r="Y73" s="67">
        <f t="shared" si="28"/>
        <v>0</v>
      </c>
      <c r="Z73" s="67">
        <f t="shared" si="23"/>
        <v>0</v>
      </c>
    </row>
    <row r="74" spans="15:26" x14ac:dyDescent="0.25">
      <c r="O74" s="67">
        <f>'Пропускная способность'!C104</f>
        <v>0</v>
      </c>
      <c r="P74" s="67">
        <f>'Пропускная способность'!E104</f>
        <v>0</v>
      </c>
      <c r="Q74" s="67">
        <f t="shared" si="24"/>
        <v>0</v>
      </c>
      <c r="R74" s="67">
        <f t="shared" si="24"/>
        <v>0</v>
      </c>
      <c r="S74" s="67">
        <f t="shared" si="21"/>
        <v>0</v>
      </c>
      <c r="T74" s="67">
        <f t="shared" si="21"/>
        <v>0</v>
      </c>
      <c r="U74" s="67">
        <f t="shared" si="25"/>
        <v>0</v>
      </c>
      <c r="V74" s="67">
        <f t="shared" si="26"/>
        <v>0</v>
      </c>
      <c r="W74" s="67">
        <f t="shared" si="27"/>
        <v>0</v>
      </c>
      <c r="X74" s="67">
        <f t="shared" si="22"/>
        <v>0</v>
      </c>
      <c r="Y74" s="67">
        <f t="shared" si="28"/>
        <v>0</v>
      </c>
      <c r="Z74" s="67">
        <f t="shared" si="23"/>
        <v>0</v>
      </c>
    </row>
    <row r="75" spans="15:26" x14ac:dyDescent="0.25">
      <c r="O75" s="67">
        <f>'Пропускная способность'!C105</f>
        <v>0</v>
      </c>
      <c r="P75" s="67">
        <f>'Пропускная способность'!E105</f>
        <v>0</v>
      </c>
      <c r="Q75" s="67">
        <f t="shared" si="24"/>
        <v>0</v>
      </c>
      <c r="R75" s="67">
        <f t="shared" si="24"/>
        <v>0</v>
      </c>
      <c r="S75" s="67">
        <f t="shared" si="21"/>
        <v>0</v>
      </c>
      <c r="T75" s="67">
        <f t="shared" si="21"/>
        <v>0</v>
      </c>
      <c r="U75" s="67">
        <f t="shared" si="25"/>
        <v>0</v>
      </c>
      <c r="V75" s="67">
        <f t="shared" si="26"/>
        <v>0</v>
      </c>
      <c r="W75" s="67">
        <f t="shared" si="27"/>
        <v>0</v>
      </c>
      <c r="X75" s="67">
        <f t="shared" si="22"/>
        <v>0</v>
      </c>
      <c r="Y75" s="67">
        <f t="shared" si="28"/>
        <v>0</v>
      </c>
      <c r="Z75" s="67">
        <f t="shared" si="23"/>
        <v>0</v>
      </c>
    </row>
    <row r="76" spans="15:26" x14ac:dyDescent="0.25">
      <c r="O76" s="67">
        <f>'Пропускная способность'!C106</f>
        <v>0</v>
      </c>
      <c r="P76" s="67">
        <f>'Пропускная способность'!E106</f>
        <v>0</v>
      </c>
      <c r="Q76" s="67">
        <f t="shared" si="24"/>
        <v>0</v>
      </c>
      <c r="R76" s="67">
        <f t="shared" si="24"/>
        <v>0</v>
      </c>
      <c r="S76" s="67">
        <f t="shared" si="21"/>
        <v>0</v>
      </c>
      <c r="T76" s="67">
        <f t="shared" si="21"/>
        <v>0</v>
      </c>
      <c r="U76" s="67">
        <f t="shared" si="25"/>
        <v>0</v>
      </c>
      <c r="V76" s="67">
        <f t="shared" si="26"/>
        <v>0</v>
      </c>
      <c r="W76" s="67">
        <f t="shared" si="27"/>
        <v>0</v>
      </c>
      <c r="X76" s="67">
        <f t="shared" si="22"/>
        <v>0</v>
      </c>
      <c r="Y76" s="67">
        <f t="shared" si="28"/>
        <v>0</v>
      </c>
      <c r="Z76" s="67">
        <f t="shared" si="23"/>
        <v>0</v>
      </c>
    </row>
    <row r="77" spans="15:26" x14ac:dyDescent="0.25">
      <c r="O77" s="67">
        <f>'Пропускная способность'!C107</f>
        <v>0</v>
      </c>
      <c r="P77" s="67">
        <f>'Пропускная способность'!E107</f>
        <v>0</v>
      </c>
      <c r="Q77" s="67">
        <f t="shared" si="24"/>
        <v>0</v>
      </c>
      <c r="R77" s="67">
        <f t="shared" si="24"/>
        <v>0</v>
      </c>
      <c r="S77" s="67">
        <f t="shared" si="21"/>
        <v>0</v>
      </c>
      <c r="T77" s="67">
        <f t="shared" si="21"/>
        <v>0</v>
      </c>
      <c r="U77" s="67">
        <f t="shared" si="25"/>
        <v>0</v>
      </c>
      <c r="V77" s="67">
        <f t="shared" si="26"/>
        <v>0</v>
      </c>
      <c r="W77" s="67">
        <f t="shared" si="27"/>
        <v>0</v>
      </c>
      <c r="X77" s="67">
        <f t="shared" si="22"/>
        <v>0</v>
      </c>
      <c r="Y77" s="67">
        <f t="shared" si="28"/>
        <v>0</v>
      </c>
      <c r="Z77" s="67">
        <f t="shared" si="23"/>
        <v>0</v>
      </c>
    </row>
    <row r="78" spans="15:26" x14ac:dyDescent="0.25">
      <c r="O78" s="67">
        <f>'Пропускная способность'!C108</f>
        <v>0</v>
      </c>
      <c r="P78" s="67">
        <f>'Пропускная способность'!E108</f>
        <v>0</v>
      </c>
      <c r="Q78" s="67">
        <f t="shared" si="24"/>
        <v>0</v>
      </c>
      <c r="R78" s="67">
        <f t="shared" si="24"/>
        <v>0</v>
      </c>
      <c r="S78" s="67">
        <f t="shared" si="21"/>
        <v>0</v>
      </c>
      <c r="T78" s="67">
        <f t="shared" si="21"/>
        <v>0</v>
      </c>
      <c r="U78" s="67">
        <f t="shared" si="25"/>
        <v>0</v>
      </c>
      <c r="V78" s="67">
        <f t="shared" si="26"/>
        <v>0</v>
      </c>
      <c r="W78" s="67">
        <f t="shared" si="27"/>
        <v>0</v>
      </c>
      <c r="X78" s="67">
        <f t="shared" si="22"/>
        <v>0</v>
      </c>
      <c r="Y78" s="67">
        <f t="shared" si="28"/>
        <v>0</v>
      </c>
      <c r="Z78" s="67">
        <f t="shared" si="23"/>
        <v>0</v>
      </c>
    </row>
    <row r="79" spans="15:26" x14ac:dyDescent="0.25">
      <c r="O79" s="67">
        <f>'Пропускная способность'!C109</f>
        <v>0</v>
      </c>
      <c r="P79" s="67">
        <f>'Пропускная способность'!E109</f>
        <v>0</v>
      </c>
      <c r="Q79" s="67">
        <f t="shared" si="24"/>
        <v>0</v>
      </c>
      <c r="R79" s="67">
        <f t="shared" si="24"/>
        <v>0</v>
      </c>
      <c r="S79" s="67">
        <f t="shared" si="21"/>
        <v>0</v>
      </c>
      <c r="T79" s="67">
        <f t="shared" si="21"/>
        <v>0</v>
      </c>
      <c r="U79" s="67">
        <f t="shared" si="25"/>
        <v>0</v>
      </c>
      <c r="V79" s="67">
        <f t="shared" si="26"/>
        <v>0</v>
      </c>
      <c r="W79" s="67">
        <f t="shared" si="27"/>
        <v>0</v>
      </c>
      <c r="X79" s="67">
        <f t="shared" si="22"/>
        <v>0</v>
      </c>
      <c r="Y79" s="67">
        <f t="shared" si="28"/>
        <v>0</v>
      </c>
      <c r="Z79" s="67">
        <f t="shared" si="23"/>
        <v>0</v>
      </c>
    </row>
    <row r="80" spans="15:26" x14ac:dyDescent="0.25">
      <c r="O80" s="67">
        <f>'Пропускная способность'!C110</f>
        <v>0</v>
      </c>
      <c r="P80" s="67">
        <f>'Пропускная способность'!E110</f>
        <v>0</v>
      </c>
      <c r="Q80" s="67">
        <f t="shared" si="24"/>
        <v>0</v>
      </c>
      <c r="R80" s="67">
        <f t="shared" si="24"/>
        <v>0</v>
      </c>
      <c r="S80" s="67">
        <f t="shared" si="21"/>
        <v>0</v>
      </c>
      <c r="T80" s="67">
        <f t="shared" si="21"/>
        <v>0</v>
      </c>
      <c r="U80" s="67">
        <f t="shared" si="25"/>
        <v>0</v>
      </c>
      <c r="V80" s="67">
        <f t="shared" si="26"/>
        <v>0</v>
      </c>
      <c r="W80" s="67">
        <f t="shared" si="27"/>
        <v>0</v>
      </c>
      <c r="X80" s="67">
        <f t="shared" si="22"/>
        <v>0</v>
      </c>
      <c r="Y80" s="67">
        <f t="shared" si="28"/>
        <v>0</v>
      </c>
      <c r="Z80" s="67">
        <f t="shared" si="23"/>
        <v>0</v>
      </c>
    </row>
    <row r="81" spans="15:26" x14ac:dyDescent="0.25">
      <c r="O81" s="67">
        <f>'Пропускная способность'!C111</f>
        <v>0</v>
      </c>
      <c r="P81" s="67">
        <f>'Пропускная способность'!E111</f>
        <v>0</v>
      </c>
      <c r="Q81" s="67">
        <f t="shared" si="24"/>
        <v>0</v>
      </c>
      <c r="R81" s="67">
        <f t="shared" si="24"/>
        <v>0</v>
      </c>
      <c r="S81" s="67">
        <f t="shared" si="21"/>
        <v>0</v>
      </c>
      <c r="T81" s="67">
        <f t="shared" si="21"/>
        <v>0</v>
      </c>
      <c r="U81" s="67">
        <f t="shared" si="25"/>
        <v>0</v>
      </c>
      <c r="V81" s="67">
        <f t="shared" si="26"/>
        <v>0</v>
      </c>
      <c r="W81" s="67">
        <f t="shared" si="27"/>
        <v>0</v>
      </c>
      <c r="X81" s="67">
        <f t="shared" si="22"/>
        <v>0</v>
      </c>
      <c r="Y81" s="67">
        <f t="shared" si="28"/>
        <v>0</v>
      </c>
      <c r="Z81" s="67">
        <f t="shared" si="23"/>
        <v>0</v>
      </c>
    </row>
    <row r="82" spans="15:26" x14ac:dyDescent="0.25">
      <c r="O82" s="67">
        <f>'Пропускная способность'!C112</f>
        <v>0</v>
      </c>
      <c r="P82" s="67">
        <f>'Пропускная способность'!E112</f>
        <v>0</v>
      </c>
      <c r="Q82" s="67">
        <f t="shared" si="24"/>
        <v>0</v>
      </c>
      <c r="R82" s="67">
        <f t="shared" si="24"/>
        <v>0</v>
      </c>
      <c r="S82" s="67">
        <f t="shared" si="21"/>
        <v>0</v>
      </c>
      <c r="T82" s="67">
        <f t="shared" si="21"/>
        <v>0</v>
      </c>
      <c r="U82" s="67">
        <f t="shared" si="25"/>
        <v>0</v>
      </c>
      <c r="V82" s="67">
        <f t="shared" si="26"/>
        <v>0</v>
      </c>
      <c r="W82" s="67">
        <f t="shared" si="27"/>
        <v>0</v>
      </c>
      <c r="X82" s="67">
        <f t="shared" si="22"/>
        <v>0</v>
      </c>
      <c r="Y82" s="67">
        <f t="shared" si="28"/>
        <v>0</v>
      </c>
      <c r="Z82" s="67">
        <f t="shared" si="23"/>
        <v>0</v>
      </c>
    </row>
    <row r="83" spans="15:26" x14ac:dyDescent="0.25">
      <c r="O83" s="67">
        <f>'Пропускная способность'!C113</f>
        <v>0</v>
      </c>
      <c r="P83" s="67">
        <f>'Пропускная способность'!E113</f>
        <v>0</v>
      </c>
      <c r="Q83" s="67">
        <f t="shared" si="24"/>
        <v>0</v>
      </c>
      <c r="R83" s="67">
        <f t="shared" si="24"/>
        <v>0</v>
      </c>
      <c r="S83" s="67">
        <f t="shared" si="21"/>
        <v>0</v>
      </c>
      <c r="T83" s="67">
        <f t="shared" si="21"/>
        <v>0</v>
      </c>
      <c r="U83" s="67">
        <f t="shared" si="25"/>
        <v>0</v>
      </c>
      <c r="V83" s="67">
        <f t="shared" si="26"/>
        <v>0</v>
      </c>
      <c r="W83" s="67">
        <f t="shared" si="27"/>
        <v>0</v>
      </c>
      <c r="X83" s="67">
        <f t="shared" si="22"/>
        <v>0</v>
      </c>
      <c r="Y83" s="67">
        <f t="shared" si="28"/>
        <v>0</v>
      </c>
      <c r="Z83" s="67">
        <f t="shared" si="23"/>
        <v>0</v>
      </c>
    </row>
    <row r="84" spans="15:26" x14ac:dyDescent="0.25">
      <c r="O84" s="67">
        <f>'Пропускная способность'!C114</f>
        <v>0</v>
      </c>
      <c r="P84" s="67">
        <f>'Пропускная способность'!E114</f>
        <v>0</v>
      </c>
      <c r="Q84" s="67">
        <f t="shared" si="24"/>
        <v>0</v>
      </c>
      <c r="R84" s="67">
        <f t="shared" si="24"/>
        <v>0</v>
      </c>
      <c r="S84" s="67">
        <f t="shared" si="21"/>
        <v>0</v>
      </c>
      <c r="T84" s="67">
        <f t="shared" si="21"/>
        <v>0</v>
      </c>
      <c r="U84" s="67">
        <f t="shared" si="25"/>
        <v>0</v>
      </c>
      <c r="V84" s="67">
        <f t="shared" si="26"/>
        <v>0</v>
      </c>
      <c r="W84" s="67">
        <f t="shared" si="27"/>
        <v>0</v>
      </c>
      <c r="X84" s="67">
        <f t="shared" si="22"/>
        <v>0</v>
      </c>
      <c r="Y84" s="67">
        <f t="shared" si="28"/>
        <v>0</v>
      </c>
      <c r="Z84" s="67">
        <f t="shared" si="23"/>
        <v>0</v>
      </c>
    </row>
    <row r="85" spans="15:26" x14ac:dyDescent="0.25">
      <c r="O85" s="67">
        <f>'Пропускная способность'!C115</f>
        <v>0</v>
      </c>
      <c r="P85" s="67">
        <f>'Пропускная способность'!E115</f>
        <v>0</v>
      </c>
      <c r="Q85" s="67">
        <f t="shared" si="24"/>
        <v>0</v>
      </c>
      <c r="R85" s="67">
        <f t="shared" si="24"/>
        <v>0</v>
      </c>
      <c r="S85" s="67">
        <f t="shared" ref="S85:T104" si="29">SUMIFS($M:$M,$G:$G,"&lt;="&amp;$O85,$E:$E,S$4)</f>
        <v>0</v>
      </c>
      <c r="T85" s="67">
        <f t="shared" si="29"/>
        <v>0</v>
      </c>
      <c r="U85" s="67">
        <f t="shared" si="25"/>
        <v>0</v>
      </c>
      <c r="V85" s="67">
        <f t="shared" si="26"/>
        <v>0</v>
      </c>
      <c r="W85" s="67">
        <f t="shared" si="27"/>
        <v>0</v>
      </c>
      <c r="X85" s="67">
        <f t="shared" si="22"/>
        <v>0</v>
      </c>
      <c r="Y85" s="67">
        <f t="shared" si="28"/>
        <v>0</v>
      </c>
      <c r="Z85" s="67">
        <f t="shared" si="23"/>
        <v>0</v>
      </c>
    </row>
    <row r="86" spans="15:26" x14ac:dyDescent="0.25">
      <c r="O86" s="67">
        <f>'Пропускная способность'!C116</f>
        <v>0</v>
      </c>
      <c r="P86" s="67">
        <f>'Пропускная способность'!E116</f>
        <v>0</v>
      </c>
      <c r="Q86" s="67">
        <f t="shared" si="24"/>
        <v>0</v>
      </c>
      <c r="R86" s="67">
        <f t="shared" si="24"/>
        <v>0</v>
      </c>
      <c r="S86" s="67">
        <f t="shared" si="29"/>
        <v>0</v>
      </c>
      <c r="T86" s="67">
        <f t="shared" si="29"/>
        <v>0</v>
      </c>
      <c r="U86" s="67">
        <f t="shared" si="25"/>
        <v>0</v>
      </c>
      <c r="V86" s="67">
        <f t="shared" si="26"/>
        <v>0</v>
      </c>
      <c r="W86" s="67">
        <f t="shared" si="27"/>
        <v>0</v>
      </c>
      <c r="X86" s="67">
        <f t="shared" si="22"/>
        <v>0</v>
      </c>
      <c r="Y86" s="67">
        <f t="shared" si="28"/>
        <v>0</v>
      </c>
      <c r="Z86" s="67">
        <f t="shared" si="23"/>
        <v>0</v>
      </c>
    </row>
    <row r="87" spans="15:26" x14ac:dyDescent="0.25">
      <c r="O87" s="67">
        <f>'Пропускная способность'!C117</f>
        <v>0</v>
      </c>
      <c r="P87" s="67">
        <f>'Пропускная способность'!E117</f>
        <v>0</v>
      </c>
      <c r="Q87" s="67">
        <f t="shared" si="24"/>
        <v>0</v>
      </c>
      <c r="R87" s="67">
        <f t="shared" si="24"/>
        <v>0</v>
      </c>
      <c r="S87" s="67">
        <f t="shared" si="29"/>
        <v>0</v>
      </c>
      <c r="T87" s="67">
        <f t="shared" si="29"/>
        <v>0</v>
      </c>
      <c r="U87" s="67">
        <f t="shared" si="25"/>
        <v>0</v>
      </c>
      <c r="V87" s="67">
        <f t="shared" si="26"/>
        <v>0</v>
      </c>
      <c r="W87" s="67">
        <f t="shared" si="27"/>
        <v>0</v>
      </c>
      <c r="X87" s="67">
        <f t="shared" si="22"/>
        <v>0</v>
      </c>
      <c r="Y87" s="67">
        <f t="shared" si="28"/>
        <v>0</v>
      </c>
      <c r="Z87" s="67">
        <f t="shared" si="23"/>
        <v>0</v>
      </c>
    </row>
    <row r="88" spans="15:26" x14ac:dyDescent="0.25">
      <c r="O88" s="67">
        <f>'Пропускная способность'!C118</f>
        <v>0</v>
      </c>
      <c r="P88" s="67">
        <f>'Пропускная способность'!E118</f>
        <v>0</v>
      </c>
      <c r="Q88" s="67">
        <f t="shared" si="24"/>
        <v>0</v>
      </c>
      <c r="R88" s="67">
        <f t="shared" si="24"/>
        <v>0</v>
      </c>
      <c r="S88" s="67">
        <f t="shared" si="29"/>
        <v>0</v>
      </c>
      <c r="T88" s="67">
        <f t="shared" si="29"/>
        <v>0</v>
      </c>
      <c r="U88" s="67">
        <f t="shared" si="25"/>
        <v>0</v>
      </c>
      <c r="V88" s="67">
        <f t="shared" si="26"/>
        <v>0</v>
      </c>
      <c r="W88" s="67">
        <f t="shared" si="27"/>
        <v>0</v>
      </c>
      <c r="X88" s="67">
        <f t="shared" si="22"/>
        <v>0</v>
      </c>
      <c r="Y88" s="67">
        <f t="shared" si="28"/>
        <v>0</v>
      </c>
      <c r="Z88" s="67">
        <f t="shared" si="23"/>
        <v>0</v>
      </c>
    </row>
    <row r="89" spans="15:26" x14ac:dyDescent="0.25">
      <c r="O89" s="67">
        <f>'Пропускная способность'!C119</f>
        <v>0</v>
      </c>
      <c r="P89" s="67">
        <f>'Пропускная способность'!E119</f>
        <v>0</v>
      </c>
      <c r="Q89" s="67">
        <f t="shared" si="24"/>
        <v>0</v>
      </c>
      <c r="R89" s="67">
        <f t="shared" si="24"/>
        <v>0</v>
      </c>
      <c r="S89" s="67">
        <f t="shared" si="29"/>
        <v>0</v>
      </c>
      <c r="T89" s="67">
        <f t="shared" si="29"/>
        <v>0</v>
      </c>
      <c r="U89" s="67">
        <f t="shared" si="25"/>
        <v>0</v>
      </c>
      <c r="V89" s="67">
        <f t="shared" si="26"/>
        <v>0</v>
      </c>
      <c r="W89" s="67">
        <f t="shared" si="27"/>
        <v>0</v>
      </c>
      <c r="X89" s="67">
        <f t="shared" si="22"/>
        <v>0</v>
      </c>
      <c r="Y89" s="67">
        <f t="shared" si="28"/>
        <v>0</v>
      </c>
      <c r="Z89" s="67">
        <f t="shared" si="23"/>
        <v>0</v>
      </c>
    </row>
    <row r="90" spans="15:26" x14ac:dyDescent="0.25">
      <c r="O90" s="67">
        <f>'Пропускная способность'!C120</f>
        <v>0</v>
      </c>
      <c r="P90" s="67">
        <f>'Пропускная способность'!E120</f>
        <v>0</v>
      </c>
      <c r="Q90" s="67">
        <f t="shared" si="24"/>
        <v>0</v>
      </c>
      <c r="R90" s="67">
        <f t="shared" si="24"/>
        <v>0</v>
      </c>
      <c r="S90" s="67">
        <f t="shared" si="29"/>
        <v>0</v>
      </c>
      <c r="T90" s="67">
        <f t="shared" si="29"/>
        <v>0</v>
      </c>
      <c r="U90" s="67">
        <f t="shared" si="25"/>
        <v>0</v>
      </c>
      <c r="V90" s="67">
        <f t="shared" si="26"/>
        <v>0</v>
      </c>
      <c r="W90" s="67">
        <f t="shared" si="27"/>
        <v>0</v>
      </c>
      <c r="X90" s="67">
        <f t="shared" si="22"/>
        <v>0</v>
      </c>
      <c r="Y90" s="67">
        <f t="shared" si="28"/>
        <v>0</v>
      </c>
      <c r="Z90" s="67">
        <f t="shared" si="23"/>
        <v>0</v>
      </c>
    </row>
    <row r="91" spans="15:26" x14ac:dyDescent="0.25">
      <c r="O91" s="67">
        <f>'Пропускная способность'!C121</f>
        <v>0</v>
      </c>
      <c r="P91" s="67">
        <f>'Пропускная способность'!E121</f>
        <v>0</v>
      </c>
      <c r="Q91" s="67">
        <f t="shared" si="24"/>
        <v>0</v>
      </c>
      <c r="R91" s="67">
        <f t="shared" si="24"/>
        <v>0</v>
      </c>
      <c r="S91" s="67">
        <f t="shared" si="29"/>
        <v>0</v>
      </c>
      <c r="T91" s="67">
        <f t="shared" si="29"/>
        <v>0</v>
      </c>
      <c r="U91" s="67">
        <f t="shared" si="25"/>
        <v>0</v>
      </c>
      <c r="V91" s="67">
        <f t="shared" si="26"/>
        <v>0</v>
      </c>
      <c r="W91" s="67">
        <f t="shared" si="27"/>
        <v>0</v>
      </c>
      <c r="X91" s="67">
        <f t="shared" si="22"/>
        <v>0</v>
      </c>
      <c r="Y91" s="67">
        <f t="shared" si="28"/>
        <v>0</v>
      </c>
      <c r="Z91" s="67">
        <f t="shared" si="23"/>
        <v>0</v>
      </c>
    </row>
    <row r="92" spans="15:26" x14ac:dyDescent="0.25">
      <c r="O92" s="67">
        <f>'Пропускная способность'!C122</f>
        <v>0</v>
      </c>
      <c r="P92" s="67">
        <f>'Пропускная способность'!E122</f>
        <v>0</v>
      </c>
      <c r="Q92" s="67">
        <f t="shared" si="24"/>
        <v>0</v>
      </c>
      <c r="R92" s="67">
        <f t="shared" si="24"/>
        <v>0</v>
      </c>
      <c r="S92" s="67">
        <f t="shared" si="29"/>
        <v>0</v>
      </c>
      <c r="T92" s="67">
        <f t="shared" si="29"/>
        <v>0</v>
      </c>
      <c r="U92" s="67">
        <f t="shared" si="25"/>
        <v>0</v>
      </c>
      <c r="V92" s="67">
        <f t="shared" si="26"/>
        <v>0</v>
      </c>
      <c r="W92" s="67">
        <f t="shared" si="27"/>
        <v>0</v>
      </c>
      <c r="X92" s="67">
        <f t="shared" si="22"/>
        <v>0</v>
      </c>
      <c r="Y92" s="67">
        <f t="shared" si="28"/>
        <v>0</v>
      </c>
      <c r="Z92" s="67">
        <f t="shared" si="23"/>
        <v>0</v>
      </c>
    </row>
    <row r="93" spans="15:26" x14ac:dyDescent="0.25">
      <c r="O93" s="67">
        <f>'Пропускная способность'!C123</f>
        <v>0</v>
      </c>
      <c r="P93" s="67">
        <f>'Пропускная способность'!E123</f>
        <v>0</v>
      </c>
      <c r="Q93" s="67">
        <f t="shared" si="24"/>
        <v>0</v>
      </c>
      <c r="R93" s="67">
        <f t="shared" si="24"/>
        <v>0</v>
      </c>
      <c r="S93" s="67">
        <f t="shared" si="29"/>
        <v>0</v>
      </c>
      <c r="T93" s="67">
        <f t="shared" si="29"/>
        <v>0</v>
      </c>
      <c r="U93" s="67">
        <f t="shared" si="25"/>
        <v>0</v>
      </c>
      <c r="V93" s="67">
        <f t="shared" si="26"/>
        <v>0</v>
      </c>
      <c r="W93" s="67">
        <f t="shared" si="27"/>
        <v>0</v>
      </c>
      <c r="X93" s="67">
        <f t="shared" si="22"/>
        <v>0</v>
      </c>
      <c r="Y93" s="67">
        <f t="shared" si="28"/>
        <v>0</v>
      </c>
      <c r="Z93" s="67">
        <f t="shared" si="23"/>
        <v>0</v>
      </c>
    </row>
    <row r="94" spans="15:26" x14ac:dyDescent="0.25">
      <c r="O94" s="67">
        <f>'Пропускная способность'!C124</f>
        <v>0</v>
      </c>
      <c r="P94" s="67">
        <f>'Пропускная способность'!E124</f>
        <v>0</v>
      </c>
      <c r="Q94" s="67">
        <f t="shared" si="24"/>
        <v>0</v>
      </c>
      <c r="R94" s="67">
        <f t="shared" si="24"/>
        <v>0</v>
      </c>
      <c r="S94" s="67">
        <f t="shared" si="29"/>
        <v>0</v>
      </c>
      <c r="T94" s="67">
        <f t="shared" si="29"/>
        <v>0</v>
      </c>
      <c r="U94" s="67">
        <f t="shared" si="25"/>
        <v>0</v>
      </c>
      <c r="V94" s="67">
        <f t="shared" si="26"/>
        <v>0</v>
      </c>
      <c r="W94" s="67">
        <f t="shared" si="27"/>
        <v>0</v>
      </c>
      <c r="X94" s="67">
        <f t="shared" si="22"/>
        <v>0</v>
      </c>
      <c r="Y94" s="67">
        <f t="shared" si="28"/>
        <v>0</v>
      </c>
      <c r="Z94" s="67">
        <f t="shared" si="23"/>
        <v>0</v>
      </c>
    </row>
    <row r="95" spans="15:26" x14ac:dyDescent="0.25">
      <c r="O95" s="67">
        <f>'Пропускная способность'!C125</f>
        <v>0</v>
      </c>
      <c r="P95" s="67">
        <f>'Пропускная способность'!E125</f>
        <v>0</v>
      </c>
      <c r="Q95" s="67">
        <f t="shared" si="24"/>
        <v>0</v>
      </c>
      <c r="R95" s="67">
        <f t="shared" si="24"/>
        <v>0</v>
      </c>
      <c r="S95" s="67">
        <f t="shared" si="29"/>
        <v>0</v>
      </c>
      <c r="T95" s="67">
        <f t="shared" si="29"/>
        <v>0</v>
      </c>
      <c r="U95" s="67">
        <f t="shared" si="25"/>
        <v>0</v>
      </c>
      <c r="V95" s="67">
        <f t="shared" si="26"/>
        <v>0</v>
      </c>
      <c r="W95" s="67">
        <f t="shared" si="27"/>
        <v>0</v>
      </c>
      <c r="X95" s="67">
        <f t="shared" si="22"/>
        <v>0</v>
      </c>
      <c r="Y95" s="67">
        <f t="shared" si="28"/>
        <v>0</v>
      </c>
      <c r="Z95" s="67">
        <f t="shared" si="23"/>
        <v>0</v>
      </c>
    </row>
    <row r="96" spans="15:26" x14ac:dyDescent="0.25">
      <c r="O96" s="67">
        <f>'Пропускная способность'!C126</f>
        <v>0</v>
      </c>
      <c r="P96" s="67">
        <f>'Пропускная способность'!E126</f>
        <v>0</v>
      </c>
      <c r="Q96" s="67">
        <f t="shared" si="24"/>
        <v>0</v>
      </c>
      <c r="R96" s="67">
        <f t="shared" si="24"/>
        <v>0</v>
      </c>
      <c r="S96" s="67">
        <f t="shared" si="29"/>
        <v>0</v>
      </c>
      <c r="T96" s="67">
        <f t="shared" si="29"/>
        <v>0</v>
      </c>
      <c r="U96" s="67">
        <f t="shared" si="25"/>
        <v>0</v>
      </c>
      <c r="V96" s="67">
        <f t="shared" si="26"/>
        <v>0</v>
      </c>
      <c r="W96" s="67">
        <f t="shared" si="27"/>
        <v>0</v>
      </c>
      <c r="X96" s="67">
        <f t="shared" si="22"/>
        <v>0</v>
      </c>
      <c r="Y96" s="67">
        <f t="shared" si="28"/>
        <v>0</v>
      </c>
      <c r="Z96" s="67">
        <f t="shared" si="23"/>
        <v>0</v>
      </c>
    </row>
    <row r="97" spans="15:26" x14ac:dyDescent="0.25">
      <c r="O97" s="67">
        <f>'Пропускная способность'!C127</f>
        <v>0</v>
      </c>
      <c r="P97" s="67">
        <f>'Пропускная способность'!E127</f>
        <v>0</v>
      </c>
      <c r="Q97" s="67">
        <f t="shared" si="24"/>
        <v>0</v>
      </c>
      <c r="R97" s="67">
        <f t="shared" si="24"/>
        <v>0</v>
      </c>
      <c r="S97" s="67">
        <f t="shared" si="29"/>
        <v>0</v>
      </c>
      <c r="T97" s="67">
        <f t="shared" si="29"/>
        <v>0</v>
      </c>
      <c r="U97" s="67">
        <f t="shared" si="25"/>
        <v>0</v>
      </c>
      <c r="V97" s="67">
        <f t="shared" si="26"/>
        <v>0</v>
      </c>
      <c r="W97" s="67">
        <f t="shared" si="27"/>
        <v>0</v>
      </c>
      <c r="X97" s="67">
        <f t="shared" si="22"/>
        <v>0</v>
      </c>
      <c r="Y97" s="67">
        <f t="shared" si="28"/>
        <v>0</v>
      </c>
      <c r="Z97" s="67">
        <f t="shared" si="23"/>
        <v>0</v>
      </c>
    </row>
    <row r="98" spans="15:26" x14ac:dyDescent="0.25">
      <c r="O98" s="67">
        <f>'Пропускная способность'!C128</f>
        <v>0</v>
      </c>
      <c r="P98" s="67">
        <f>'Пропускная способность'!E128</f>
        <v>0</v>
      </c>
      <c r="Q98" s="67">
        <f t="shared" si="24"/>
        <v>0</v>
      </c>
      <c r="R98" s="67">
        <f t="shared" si="24"/>
        <v>0</v>
      </c>
      <c r="S98" s="67">
        <f t="shared" si="29"/>
        <v>0</v>
      </c>
      <c r="T98" s="67">
        <f t="shared" si="29"/>
        <v>0</v>
      </c>
      <c r="U98" s="67">
        <f t="shared" si="25"/>
        <v>0</v>
      </c>
      <c r="V98" s="67">
        <f t="shared" si="26"/>
        <v>0</v>
      </c>
      <c r="W98" s="67">
        <f t="shared" si="27"/>
        <v>0</v>
      </c>
      <c r="X98" s="67">
        <f t="shared" si="22"/>
        <v>0</v>
      </c>
      <c r="Y98" s="67">
        <f t="shared" si="28"/>
        <v>0</v>
      </c>
      <c r="Z98" s="67">
        <f t="shared" si="23"/>
        <v>0</v>
      </c>
    </row>
    <row r="99" spans="15:26" x14ac:dyDescent="0.25">
      <c r="O99" s="67">
        <f>'Пропускная способность'!C129</f>
        <v>0</v>
      </c>
      <c r="P99" s="67">
        <f>'Пропускная способность'!E129</f>
        <v>0</v>
      </c>
      <c r="Q99" s="67">
        <f t="shared" si="24"/>
        <v>0</v>
      </c>
      <c r="R99" s="67">
        <f t="shared" si="24"/>
        <v>0</v>
      </c>
      <c r="S99" s="67">
        <f t="shared" si="29"/>
        <v>0</v>
      </c>
      <c r="T99" s="67">
        <f t="shared" si="29"/>
        <v>0</v>
      </c>
      <c r="U99" s="67">
        <f t="shared" si="25"/>
        <v>0</v>
      </c>
      <c r="V99" s="67">
        <f t="shared" si="26"/>
        <v>0</v>
      </c>
      <c r="W99" s="67">
        <f t="shared" si="27"/>
        <v>0</v>
      </c>
      <c r="X99" s="67">
        <f t="shared" si="22"/>
        <v>0</v>
      </c>
      <c r="Y99" s="67">
        <f t="shared" si="28"/>
        <v>0</v>
      </c>
      <c r="Z99" s="67">
        <f t="shared" si="23"/>
        <v>0</v>
      </c>
    </row>
    <row r="100" spans="15:26" x14ac:dyDescent="0.25">
      <c r="O100" s="67">
        <f>'Пропускная способность'!C130</f>
        <v>0</v>
      </c>
      <c r="P100" s="67">
        <f>'Пропускная способность'!E130</f>
        <v>0</v>
      </c>
      <c r="Q100" s="67">
        <f t="shared" si="24"/>
        <v>0</v>
      </c>
      <c r="R100" s="67">
        <f t="shared" si="24"/>
        <v>0</v>
      </c>
      <c r="S100" s="67">
        <f t="shared" si="29"/>
        <v>0</v>
      </c>
      <c r="T100" s="67">
        <f t="shared" si="29"/>
        <v>0</v>
      </c>
      <c r="U100" s="67">
        <f t="shared" si="25"/>
        <v>0</v>
      </c>
      <c r="V100" s="67">
        <f t="shared" si="26"/>
        <v>0</v>
      </c>
      <c r="W100" s="67">
        <f t="shared" si="27"/>
        <v>0</v>
      </c>
      <c r="X100" s="67">
        <f t="shared" si="22"/>
        <v>0</v>
      </c>
      <c r="Y100" s="67">
        <f t="shared" si="28"/>
        <v>0</v>
      </c>
      <c r="Z100" s="67">
        <f t="shared" si="23"/>
        <v>0</v>
      </c>
    </row>
    <row r="101" spans="15:26" x14ac:dyDescent="0.25">
      <c r="O101" s="67">
        <f>'Пропускная способность'!C131</f>
        <v>0</v>
      </c>
      <c r="P101" s="67">
        <f>'Пропускная способность'!E131</f>
        <v>0</v>
      </c>
      <c r="Q101" s="67">
        <f t="shared" si="24"/>
        <v>0</v>
      </c>
      <c r="R101" s="67">
        <f t="shared" si="24"/>
        <v>0</v>
      </c>
      <c r="S101" s="67">
        <f t="shared" si="29"/>
        <v>0</v>
      </c>
      <c r="T101" s="67">
        <f t="shared" si="29"/>
        <v>0</v>
      </c>
      <c r="U101" s="67">
        <f t="shared" si="25"/>
        <v>0</v>
      </c>
      <c r="V101" s="67">
        <f t="shared" si="26"/>
        <v>0</v>
      </c>
      <c r="W101" s="67">
        <f t="shared" si="27"/>
        <v>0</v>
      </c>
      <c r="X101" s="67">
        <f t="shared" ref="X101:X129" si="30">SUMIFS($K:$K,$G:$G,"&lt;="&amp;$O101,$E:$E,X$4)</f>
        <v>0</v>
      </c>
      <c r="Y101" s="67">
        <f t="shared" si="28"/>
        <v>0</v>
      </c>
      <c r="Z101" s="67">
        <f t="shared" ref="Z101:Z129" si="31">SUM(W101:Y101)</f>
        <v>0</v>
      </c>
    </row>
    <row r="102" spans="15:26" x14ac:dyDescent="0.25">
      <c r="O102" s="67">
        <f>'Пропускная способность'!C132</f>
        <v>0</v>
      </c>
      <c r="P102" s="67">
        <f>'Пропускная способность'!E132</f>
        <v>0</v>
      </c>
      <c r="Q102" s="67">
        <f t="shared" si="24"/>
        <v>0</v>
      </c>
      <c r="R102" s="67">
        <f t="shared" si="24"/>
        <v>0</v>
      </c>
      <c r="S102" s="67">
        <f t="shared" si="29"/>
        <v>0</v>
      </c>
      <c r="T102" s="67">
        <f t="shared" si="29"/>
        <v>0</v>
      </c>
      <c r="U102" s="67">
        <f t="shared" si="25"/>
        <v>0</v>
      </c>
      <c r="V102" s="67">
        <f t="shared" si="26"/>
        <v>0</v>
      </c>
      <c r="W102" s="67">
        <f t="shared" si="27"/>
        <v>0</v>
      </c>
      <c r="X102" s="67">
        <f t="shared" si="30"/>
        <v>0</v>
      </c>
      <c r="Y102" s="67">
        <f t="shared" si="28"/>
        <v>0</v>
      </c>
      <c r="Z102" s="67">
        <f t="shared" si="31"/>
        <v>0</v>
      </c>
    </row>
    <row r="103" spans="15:26" x14ac:dyDescent="0.25">
      <c r="O103" s="67">
        <f>'Пропускная способность'!C133</f>
        <v>0</v>
      </c>
      <c r="P103" s="67">
        <f>'Пропускная способность'!E133</f>
        <v>0</v>
      </c>
      <c r="Q103" s="67">
        <f t="shared" si="24"/>
        <v>0</v>
      </c>
      <c r="R103" s="67">
        <f t="shared" si="24"/>
        <v>0</v>
      </c>
      <c r="S103" s="67">
        <f t="shared" si="29"/>
        <v>0</v>
      </c>
      <c r="T103" s="67">
        <f t="shared" si="29"/>
        <v>0</v>
      </c>
      <c r="U103" s="67">
        <f t="shared" si="25"/>
        <v>0</v>
      </c>
      <c r="V103" s="67">
        <f t="shared" si="26"/>
        <v>0</v>
      </c>
      <c r="W103" s="67">
        <f t="shared" si="27"/>
        <v>0</v>
      </c>
      <c r="X103" s="67">
        <f t="shared" si="30"/>
        <v>0</v>
      </c>
      <c r="Y103" s="67">
        <f t="shared" si="28"/>
        <v>0</v>
      </c>
      <c r="Z103" s="67">
        <f t="shared" si="31"/>
        <v>0</v>
      </c>
    </row>
    <row r="104" spans="15:26" x14ac:dyDescent="0.25">
      <c r="O104" s="67">
        <f>'Пропускная способность'!C134</f>
        <v>0</v>
      </c>
      <c r="P104" s="67">
        <f>'Пропускная способность'!E134</f>
        <v>0</v>
      </c>
      <c r="Q104" s="67">
        <f t="shared" si="24"/>
        <v>0</v>
      </c>
      <c r="R104" s="67">
        <f t="shared" si="24"/>
        <v>0</v>
      </c>
      <c r="S104" s="67">
        <f t="shared" si="29"/>
        <v>0</v>
      </c>
      <c r="T104" s="67">
        <f t="shared" si="29"/>
        <v>0</v>
      </c>
      <c r="U104" s="67">
        <f t="shared" si="25"/>
        <v>0</v>
      </c>
      <c r="V104" s="67">
        <f t="shared" si="26"/>
        <v>0</v>
      </c>
      <c r="W104" s="67">
        <f t="shared" si="27"/>
        <v>0</v>
      </c>
      <c r="X104" s="67">
        <f t="shared" si="30"/>
        <v>0</v>
      </c>
      <c r="Y104" s="67">
        <f t="shared" si="28"/>
        <v>0</v>
      </c>
      <c r="Z104" s="67">
        <f t="shared" si="31"/>
        <v>0</v>
      </c>
    </row>
    <row r="105" spans="15:26" x14ac:dyDescent="0.25">
      <c r="O105" s="67">
        <f>'Пропускная способность'!C135</f>
        <v>0</v>
      </c>
      <c r="P105" s="67">
        <f>'Пропускная способность'!E135</f>
        <v>0</v>
      </c>
      <c r="Q105" s="67">
        <f t="shared" si="24"/>
        <v>0</v>
      </c>
      <c r="R105" s="67">
        <f t="shared" si="24"/>
        <v>0</v>
      </c>
      <c r="S105" s="67">
        <f t="shared" ref="S105:T129" si="32">SUMIFS($M:$M,$G:$G,"&lt;="&amp;$O105,$E:$E,S$4)</f>
        <v>0</v>
      </c>
      <c r="T105" s="67">
        <f t="shared" si="32"/>
        <v>0</v>
      </c>
      <c r="U105" s="67">
        <f t="shared" si="25"/>
        <v>0</v>
      </c>
      <c r="V105" s="67">
        <f t="shared" si="26"/>
        <v>0</v>
      </c>
      <c r="W105" s="67">
        <f t="shared" si="27"/>
        <v>0</v>
      </c>
      <c r="X105" s="67">
        <f t="shared" si="30"/>
        <v>0</v>
      </c>
      <c r="Y105" s="67">
        <f t="shared" si="28"/>
        <v>0</v>
      </c>
      <c r="Z105" s="67">
        <f t="shared" si="31"/>
        <v>0</v>
      </c>
    </row>
    <row r="106" spans="15:26" x14ac:dyDescent="0.25">
      <c r="O106" s="67">
        <f>'Пропускная способность'!C136</f>
        <v>0</v>
      </c>
      <c r="P106" s="67">
        <f>'Пропускная способность'!E136</f>
        <v>0</v>
      </c>
      <c r="Q106" s="67">
        <f t="shared" si="24"/>
        <v>0</v>
      </c>
      <c r="R106" s="67">
        <f t="shared" si="24"/>
        <v>0</v>
      </c>
      <c r="S106" s="67">
        <f t="shared" si="32"/>
        <v>0</v>
      </c>
      <c r="T106" s="67">
        <f t="shared" si="32"/>
        <v>0</v>
      </c>
      <c r="U106" s="67">
        <f t="shared" si="25"/>
        <v>0</v>
      </c>
      <c r="V106" s="67">
        <f t="shared" si="26"/>
        <v>0</v>
      </c>
      <c r="W106" s="67">
        <f t="shared" si="27"/>
        <v>0</v>
      </c>
      <c r="X106" s="67">
        <f t="shared" si="30"/>
        <v>0</v>
      </c>
      <c r="Y106" s="67">
        <f t="shared" si="28"/>
        <v>0</v>
      </c>
      <c r="Z106" s="67">
        <f t="shared" si="31"/>
        <v>0</v>
      </c>
    </row>
    <row r="107" spans="15:26" x14ac:dyDescent="0.25">
      <c r="O107" s="67">
        <f>'Пропускная способность'!C137</f>
        <v>0</v>
      </c>
      <c r="P107" s="67">
        <f>'Пропускная способность'!E137</f>
        <v>0</v>
      </c>
      <c r="Q107" s="67">
        <f t="shared" si="24"/>
        <v>0</v>
      </c>
      <c r="R107" s="67">
        <f t="shared" si="24"/>
        <v>0</v>
      </c>
      <c r="S107" s="67">
        <f t="shared" si="32"/>
        <v>0</v>
      </c>
      <c r="T107" s="67">
        <f t="shared" si="32"/>
        <v>0</v>
      </c>
      <c r="U107" s="67">
        <f t="shared" si="25"/>
        <v>0</v>
      </c>
      <c r="V107" s="67">
        <f t="shared" si="26"/>
        <v>0</v>
      </c>
      <c r="W107" s="67">
        <f t="shared" si="27"/>
        <v>0</v>
      </c>
      <c r="X107" s="67">
        <f t="shared" si="30"/>
        <v>0</v>
      </c>
      <c r="Y107" s="67">
        <f t="shared" si="28"/>
        <v>0</v>
      </c>
      <c r="Z107" s="67">
        <f t="shared" si="31"/>
        <v>0</v>
      </c>
    </row>
    <row r="108" spans="15:26" x14ac:dyDescent="0.25">
      <c r="O108" s="67">
        <f>'Пропускная способность'!C138</f>
        <v>0</v>
      </c>
      <c r="P108" s="67">
        <f>'Пропускная способность'!E138</f>
        <v>0</v>
      </c>
      <c r="Q108" s="67">
        <f t="shared" si="24"/>
        <v>0</v>
      </c>
      <c r="R108" s="67">
        <f t="shared" si="24"/>
        <v>0</v>
      </c>
      <c r="S108" s="67">
        <f t="shared" si="32"/>
        <v>0</v>
      </c>
      <c r="T108" s="67">
        <f t="shared" si="32"/>
        <v>0</v>
      </c>
      <c r="U108" s="67">
        <f t="shared" si="25"/>
        <v>0</v>
      </c>
      <c r="V108" s="67">
        <f t="shared" si="26"/>
        <v>0</v>
      </c>
      <c r="W108" s="67">
        <f t="shared" si="27"/>
        <v>0</v>
      </c>
      <c r="X108" s="67">
        <f t="shared" si="30"/>
        <v>0</v>
      </c>
      <c r="Y108" s="67">
        <f t="shared" si="28"/>
        <v>0</v>
      </c>
      <c r="Z108" s="67">
        <f t="shared" si="31"/>
        <v>0</v>
      </c>
    </row>
    <row r="109" spans="15:26" x14ac:dyDescent="0.25">
      <c r="O109" s="67">
        <f>'Пропускная способность'!C139</f>
        <v>0</v>
      </c>
      <c r="P109" s="67">
        <f>'Пропускная способность'!E139</f>
        <v>0</v>
      </c>
      <c r="Q109" s="67">
        <f t="shared" si="24"/>
        <v>0</v>
      </c>
      <c r="R109" s="67">
        <f t="shared" si="24"/>
        <v>0</v>
      </c>
      <c r="S109" s="67">
        <f t="shared" si="32"/>
        <v>0</v>
      </c>
      <c r="T109" s="67">
        <f t="shared" si="32"/>
        <v>0</v>
      </c>
      <c r="U109" s="67">
        <f t="shared" si="25"/>
        <v>0</v>
      </c>
      <c r="V109" s="67">
        <f t="shared" si="26"/>
        <v>0</v>
      </c>
      <c r="W109" s="67">
        <f t="shared" si="27"/>
        <v>0</v>
      </c>
      <c r="X109" s="67">
        <f t="shared" si="30"/>
        <v>0</v>
      </c>
      <c r="Y109" s="67">
        <f t="shared" si="28"/>
        <v>0</v>
      </c>
      <c r="Z109" s="67">
        <f t="shared" si="31"/>
        <v>0</v>
      </c>
    </row>
    <row r="110" spans="15:26" x14ac:dyDescent="0.25">
      <c r="O110" s="67">
        <f>'Пропускная способность'!C140</f>
        <v>0</v>
      </c>
      <c r="P110" s="67">
        <f>'Пропускная способность'!E140</f>
        <v>0</v>
      </c>
      <c r="Q110" s="67">
        <f t="shared" si="24"/>
        <v>0</v>
      </c>
      <c r="R110" s="67">
        <f t="shared" si="24"/>
        <v>0</v>
      </c>
      <c r="S110" s="67">
        <f t="shared" si="32"/>
        <v>0</v>
      </c>
      <c r="T110" s="67">
        <f t="shared" si="32"/>
        <v>0</v>
      </c>
      <c r="U110" s="67">
        <f t="shared" si="25"/>
        <v>0</v>
      </c>
      <c r="V110" s="67">
        <f t="shared" si="26"/>
        <v>0</v>
      </c>
      <c r="W110" s="67">
        <f t="shared" si="27"/>
        <v>0</v>
      </c>
      <c r="X110" s="67">
        <f t="shared" si="30"/>
        <v>0</v>
      </c>
      <c r="Y110" s="67">
        <f t="shared" si="28"/>
        <v>0</v>
      </c>
      <c r="Z110" s="67">
        <f t="shared" si="31"/>
        <v>0</v>
      </c>
    </row>
    <row r="111" spans="15:26" x14ac:dyDescent="0.25">
      <c r="O111" s="67">
        <f>'Пропускная способность'!C141</f>
        <v>0</v>
      </c>
      <c r="P111" s="67">
        <f>'Пропускная способность'!E141</f>
        <v>0</v>
      </c>
      <c r="Q111" s="67">
        <f t="shared" si="24"/>
        <v>0</v>
      </c>
      <c r="R111" s="67">
        <f t="shared" si="24"/>
        <v>0</v>
      </c>
      <c r="S111" s="67">
        <f t="shared" si="32"/>
        <v>0</v>
      </c>
      <c r="T111" s="67">
        <f t="shared" si="32"/>
        <v>0</v>
      </c>
      <c r="U111" s="67">
        <f t="shared" si="25"/>
        <v>0</v>
      </c>
      <c r="V111" s="67">
        <f t="shared" si="26"/>
        <v>0</v>
      </c>
      <c r="W111" s="67">
        <f t="shared" si="27"/>
        <v>0</v>
      </c>
      <c r="X111" s="67">
        <f t="shared" si="30"/>
        <v>0</v>
      </c>
      <c r="Y111" s="67">
        <f t="shared" si="28"/>
        <v>0</v>
      </c>
      <c r="Z111" s="67">
        <f t="shared" si="31"/>
        <v>0</v>
      </c>
    </row>
    <row r="112" spans="15:26" x14ac:dyDescent="0.25">
      <c r="O112" s="67">
        <f>'Пропускная способность'!C142</f>
        <v>0</v>
      </c>
      <c r="P112" s="67">
        <f>'Пропускная способность'!E142</f>
        <v>0</v>
      </c>
      <c r="Q112" s="67">
        <f t="shared" si="24"/>
        <v>0</v>
      </c>
      <c r="R112" s="67">
        <f t="shared" si="24"/>
        <v>0</v>
      </c>
      <c r="S112" s="67">
        <f t="shared" si="32"/>
        <v>0</v>
      </c>
      <c r="T112" s="67">
        <f t="shared" si="32"/>
        <v>0</v>
      </c>
      <c r="U112" s="67">
        <f t="shared" si="25"/>
        <v>0</v>
      </c>
      <c r="V112" s="67">
        <f t="shared" si="26"/>
        <v>0</v>
      </c>
      <c r="W112" s="67">
        <f t="shared" si="27"/>
        <v>0</v>
      </c>
      <c r="X112" s="67">
        <f t="shared" si="30"/>
        <v>0</v>
      </c>
      <c r="Y112" s="67">
        <f t="shared" si="28"/>
        <v>0</v>
      </c>
      <c r="Z112" s="67">
        <f t="shared" si="31"/>
        <v>0</v>
      </c>
    </row>
    <row r="113" spans="15:26" x14ac:dyDescent="0.25">
      <c r="O113" s="67">
        <f>'Пропускная способность'!C143</f>
        <v>0</v>
      </c>
      <c r="P113" s="67">
        <f>'Пропускная способность'!E143</f>
        <v>0</v>
      </c>
      <c r="Q113" s="67">
        <f t="shared" si="24"/>
        <v>0</v>
      </c>
      <c r="R113" s="67">
        <f t="shared" si="24"/>
        <v>0</v>
      </c>
      <c r="S113" s="67">
        <f t="shared" si="32"/>
        <v>0</v>
      </c>
      <c r="T113" s="67">
        <f t="shared" si="32"/>
        <v>0</v>
      </c>
      <c r="U113" s="67">
        <f t="shared" si="25"/>
        <v>0</v>
      </c>
      <c r="V113" s="67">
        <f t="shared" si="26"/>
        <v>0</v>
      </c>
      <c r="W113" s="67">
        <f t="shared" si="27"/>
        <v>0</v>
      </c>
      <c r="X113" s="67">
        <f t="shared" si="30"/>
        <v>0</v>
      </c>
      <c r="Y113" s="67">
        <f t="shared" si="28"/>
        <v>0</v>
      </c>
      <c r="Z113" s="67">
        <f t="shared" si="31"/>
        <v>0</v>
      </c>
    </row>
    <row r="114" spans="15:26" x14ac:dyDescent="0.25">
      <c r="O114" s="67">
        <f>'Пропускная способность'!C144</f>
        <v>0</v>
      </c>
      <c r="P114" s="67">
        <f>'Пропускная способность'!E144</f>
        <v>0</v>
      </c>
      <c r="Q114" s="67">
        <f t="shared" si="24"/>
        <v>0</v>
      </c>
      <c r="R114" s="67">
        <f t="shared" si="24"/>
        <v>0</v>
      </c>
      <c r="S114" s="67">
        <f t="shared" si="32"/>
        <v>0</v>
      </c>
      <c r="T114" s="67">
        <f t="shared" si="32"/>
        <v>0</v>
      </c>
      <c r="U114" s="67">
        <f t="shared" si="25"/>
        <v>0</v>
      </c>
      <c r="V114" s="67">
        <f t="shared" si="26"/>
        <v>0</v>
      </c>
      <c r="W114" s="67">
        <f t="shared" si="27"/>
        <v>0</v>
      </c>
      <c r="X114" s="67">
        <f t="shared" si="30"/>
        <v>0</v>
      </c>
      <c r="Y114" s="67">
        <f t="shared" si="28"/>
        <v>0</v>
      </c>
      <c r="Z114" s="67">
        <f t="shared" si="31"/>
        <v>0</v>
      </c>
    </row>
    <row r="115" spans="15:26" x14ac:dyDescent="0.25">
      <c r="O115" s="67">
        <f>'Пропускная способность'!C145</f>
        <v>0</v>
      </c>
      <c r="P115" s="67">
        <f>'Пропускная способность'!E145</f>
        <v>0</v>
      </c>
      <c r="Q115" s="67">
        <f t="shared" si="24"/>
        <v>0</v>
      </c>
      <c r="R115" s="67">
        <f t="shared" si="24"/>
        <v>0</v>
      </c>
      <c r="S115" s="67">
        <f t="shared" si="32"/>
        <v>0</v>
      </c>
      <c r="T115" s="67">
        <f t="shared" si="32"/>
        <v>0</v>
      </c>
      <c r="U115" s="67">
        <f t="shared" si="25"/>
        <v>0</v>
      </c>
      <c r="V115" s="67">
        <f t="shared" si="26"/>
        <v>0</v>
      </c>
      <c r="W115" s="67">
        <f t="shared" si="27"/>
        <v>0</v>
      </c>
      <c r="X115" s="67">
        <f t="shared" si="30"/>
        <v>0</v>
      </c>
      <c r="Y115" s="67">
        <f t="shared" si="28"/>
        <v>0</v>
      </c>
      <c r="Z115" s="67">
        <f t="shared" si="31"/>
        <v>0</v>
      </c>
    </row>
    <row r="116" spans="15:26" x14ac:dyDescent="0.25">
      <c r="O116" s="67">
        <f>'Пропускная способность'!C146</f>
        <v>0</v>
      </c>
      <c r="P116" s="67">
        <f>'Пропускная способность'!E146</f>
        <v>0</v>
      </c>
      <c r="Q116" s="67">
        <f t="shared" si="24"/>
        <v>0</v>
      </c>
      <c r="R116" s="67">
        <f t="shared" si="24"/>
        <v>0</v>
      </c>
      <c r="S116" s="67">
        <f t="shared" si="32"/>
        <v>0</v>
      </c>
      <c r="T116" s="67">
        <f t="shared" si="32"/>
        <v>0</v>
      </c>
      <c r="U116" s="67">
        <f t="shared" si="25"/>
        <v>0</v>
      </c>
      <c r="V116" s="67">
        <f t="shared" si="26"/>
        <v>0</v>
      </c>
      <c r="W116" s="67">
        <f t="shared" si="27"/>
        <v>0</v>
      </c>
      <c r="X116" s="67">
        <f t="shared" si="30"/>
        <v>0</v>
      </c>
      <c r="Y116" s="67">
        <f t="shared" si="28"/>
        <v>0</v>
      </c>
      <c r="Z116" s="67">
        <f t="shared" si="31"/>
        <v>0</v>
      </c>
    </row>
    <row r="117" spans="15:26" x14ac:dyDescent="0.25">
      <c r="O117" s="67">
        <f>'Пропускная способность'!C147</f>
        <v>0</v>
      </c>
      <c r="P117" s="67">
        <f>'Пропускная способность'!E147</f>
        <v>0</v>
      </c>
      <c r="Q117" s="67">
        <f t="shared" si="24"/>
        <v>0</v>
      </c>
      <c r="R117" s="67">
        <f t="shared" si="24"/>
        <v>0</v>
      </c>
      <c r="S117" s="67">
        <f t="shared" si="32"/>
        <v>0</v>
      </c>
      <c r="T117" s="67">
        <f t="shared" si="32"/>
        <v>0</v>
      </c>
      <c r="U117" s="67">
        <f t="shared" si="25"/>
        <v>0</v>
      </c>
      <c r="V117" s="67">
        <f t="shared" si="26"/>
        <v>0</v>
      </c>
      <c r="W117" s="67">
        <f t="shared" si="27"/>
        <v>0</v>
      </c>
      <c r="X117" s="67">
        <f t="shared" si="30"/>
        <v>0</v>
      </c>
      <c r="Y117" s="67">
        <f t="shared" si="28"/>
        <v>0</v>
      </c>
      <c r="Z117" s="67">
        <f t="shared" si="31"/>
        <v>0</v>
      </c>
    </row>
    <row r="118" spans="15:26" x14ac:dyDescent="0.25">
      <c r="O118" s="67">
        <f>'Пропускная способность'!C148</f>
        <v>0</v>
      </c>
      <c r="P118" s="67">
        <f>'Пропускная способность'!E148</f>
        <v>0</v>
      </c>
      <c r="Q118" s="67">
        <f t="shared" si="24"/>
        <v>0</v>
      </c>
      <c r="R118" s="67">
        <f t="shared" si="24"/>
        <v>0</v>
      </c>
      <c r="S118" s="67">
        <f t="shared" si="32"/>
        <v>0</v>
      </c>
      <c r="T118" s="67">
        <f t="shared" si="32"/>
        <v>0</v>
      </c>
      <c r="U118" s="67">
        <f t="shared" si="25"/>
        <v>0</v>
      </c>
      <c r="V118" s="67">
        <f t="shared" si="26"/>
        <v>0</v>
      </c>
      <c r="W118" s="67">
        <f t="shared" si="27"/>
        <v>0</v>
      </c>
      <c r="X118" s="67">
        <f t="shared" si="30"/>
        <v>0</v>
      </c>
      <c r="Y118" s="67">
        <f t="shared" si="28"/>
        <v>0</v>
      </c>
      <c r="Z118" s="67">
        <f t="shared" si="31"/>
        <v>0</v>
      </c>
    </row>
    <row r="119" spans="15:26" x14ac:dyDescent="0.25">
      <c r="O119" s="67">
        <f>'Пропускная способность'!C149</f>
        <v>0</v>
      </c>
      <c r="P119" s="67">
        <f>'Пропускная способность'!E149</f>
        <v>0</v>
      </c>
      <c r="Q119" s="67">
        <f t="shared" si="24"/>
        <v>0</v>
      </c>
      <c r="R119" s="67">
        <f t="shared" si="24"/>
        <v>0</v>
      </c>
      <c r="S119" s="67">
        <f t="shared" si="32"/>
        <v>0</v>
      </c>
      <c r="T119" s="67">
        <f t="shared" si="32"/>
        <v>0</v>
      </c>
      <c r="U119" s="67">
        <f t="shared" si="25"/>
        <v>0</v>
      </c>
      <c r="V119" s="67">
        <f t="shared" si="26"/>
        <v>0</v>
      </c>
      <c r="W119" s="67">
        <f t="shared" si="27"/>
        <v>0</v>
      </c>
      <c r="X119" s="67">
        <f t="shared" si="30"/>
        <v>0</v>
      </c>
      <c r="Y119" s="67">
        <f t="shared" si="28"/>
        <v>0</v>
      </c>
      <c r="Z119" s="67">
        <f t="shared" si="31"/>
        <v>0</v>
      </c>
    </row>
    <row r="120" spans="15:26" x14ac:dyDescent="0.25">
      <c r="O120" s="67">
        <f>'Пропускная способность'!C150</f>
        <v>0</v>
      </c>
      <c r="P120" s="67">
        <f>'Пропускная способность'!E150</f>
        <v>0</v>
      </c>
      <c r="Q120" s="67">
        <f t="shared" si="24"/>
        <v>0</v>
      </c>
      <c r="R120" s="67">
        <f t="shared" si="24"/>
        <v>0</v>
      </c>
      <c r="S120" s="67">
        <f t="shared" si="32"/>
        <v>0</v>
      </c>
      <c r="T120" s="67">
        <f t="shared" si="32"/>
        <v>0</v>
      </c>
      <c r="U120" s="67">
        <f t="shared" si="25"/>
        <v>0</v>
      </c>
      <c r="V120" s="67">
        <f t="shared" si="26"/>
        <v>0</v>
      </c>
      <c r="W120" s="67">
        <f t="shared" si="27"/>
        <v>0</v>
      </c>
      <c r="X120" s="67">
        <f t="shared" si="30"/>
        <v>0</v>
      </c>
      <c r="Y120" s="67">
        <f t="shared" si="28"/>
        <v>0</v>
      </c>
      <c r="Z120" s="67">
        <f t="shared" si="31"/>
        <v>0</v>
      </c>
    </row>
    <row r="121" spans="15:26" x14ac:dyDescent="0.25">
      <c r="O121" s="67">
        <f>'Пропускная способность'!C151</f>
        <v>0</v>
      </c>
      <c r="P121" s="67">
        <f>'Пропускная способность'!E151</f>
        <v>0</v>
      </c>
      <c r="Q121" s="67">
        <f t="shared" si="24"/>
        <v>0</v>
      </c>
      <c r="R121" s="67">
        <f t="shared" si="24"/>
        <v>0</v>
      </c>
      <c r="S121" s="67">
        <f t="shared" si="32"/>
        <v>0</v>
      </c>
      <c r="T121" s="67">
        <f t="shared" si="32"/>
        <v>0</v>
      </c>
      <c r="U121" s="67">
        <f t="shared" si="25"/>
        <v>0</v>
      </c>
      <c r="V121" s="67">
        <f t="shared" si="26"/>
        <v>0</v>
      </c>
      <c r="W121" s="67">
        <f t="shared" si="27"/>
        <v>0</v>
      </c>
      <c r="X121" s="67">
        <f t="shared" si="30"/>
        <v>0</v>
      </c>
      <c r="Y121" s="67">
        <f t="shared" si="28"/>
        <v>0</v>
      </c>
      <c r="Z121" s="67">
        <f t="shared" si="31"/>
        <v>0</v>
      </c>
    </row>
    <row r="122" spans="15:26" x14ac:dyDescent="0.25">
      <c r="O122" s="67">
        <f>'Пропускная способность'!C152</f>
        <v>0</v>
      </c>
      <c r="P122" s="67">
        <f>'Пропускная способность'!E152</f>
        <v>0</v>
      </c>
      <c r="Q122" s="67">
        <f t="shared" si="24"/>
        <v>0</v>
      </c>
      <c r="R122" s="67">
        <f t="shared" si="24"/>
        <v>0</v>
      </c>
      <c r="S122" s="67">
        <f t="shared" si="32"/>
        <v>0</v>
      </c>
      <c r="T122" s="67">
        <f t="shared" si="32"/>
        <v>0</v>
      </c>
      <c r="U122" s="67">
        <f t="shared" si="25"/>
        <v>0</v>
      </c>
      <c r="V122" s="67">
        <f t="shared" si="26"/>
        <v>0</v>
      </c>
      <c r="W122" s="67">
        <f t="shared" si="27"/>
        <v>0</v>
      </c>
      <c r="X122" s="67">
        <f t="shared" si="30"/>
        <v>0</v>
      </c>
      <c r="Y122" s="67">
        <f t="shared" si="28"/>
        <v>0</v>
      </c>
      <c r="Z122" s="67">
        <f t="shared" si="31"/>
        <v>0</v>
      </c>
    </row>
    <row r="123" spans="15:26" x14ac:dyDescent="0.25">
      <c r="O123" s="67">
        <f>'Пропускная способность'!C153</f>
        <v>0</v>
      </c>
      <c r="P123" s="67">
        <f>'Пропускная способность'!E153</f>
        <v>0</v>
      </c>
      <c r="Q123" s="67">
        <f t="shared" si="24"/>
        <v>0</v>
      </c>
      <c r="R123" s="67">
        <f t="shared" si="24"/>
        <v>0</v>
      </c>
      <c r="S123" s="67">
        <f t="shared" si="32"/>
        <v>0</v>
      </c>
      <c r="T123" s="67">
        <f t="shared" si="32"/>
        <v>0</v>
      </c>
      <c r="U123" s="67">
        <f t="shared" si="25"/>
        <v>0</v>
      </c>
      <c r="V123" s="67">
        <f t="shared" si="26"/>
        <v>0</v>
      </c>
      <c r="W123" s="67">
        <f t="shared" si="27"/>
        <v>0</v>
      </c>
      <c r="X123" s="67">
        <f t="shared" si="30"/>
        <v>0</v>
      </c>
      <c r="Y123" s="67">
        <f t="shared" si="28"/>
        <v>0</v>
      </c>
      <c r="Z123" s="67">
        <f t="shared" si="31"/>
        <v>0</v>
      </c>
    </row>
    <row r="124" spans="15:26" x14ac:dyDescent="0.25">
      <c r="O124" s="67">
        <f>'Пропускная способность'!C154</f>
        <v>0</v>
      </c>
      <c r="P124" s="67">
        <f>'Пропускная способность'!E154</f>
        <v>0</v>
      </c>
      <c r="Q124" s="67">
        <f t="shared" si="24"/>
        <v>0</v>
      </c>
      <c r="R124" s="67">
        <f t="shared" si="24"/>
        <v>0</v>
      </c>
      <c r="S124" s="67">
        <f t="shared" si="32"/>
        <v>0</v>
      </c>
      <c r="T124" s="67">
        <f t="shared" si="32"/>
        <v>0</v>
      </c>
      <c r="U124" s="67">
        <f t="shared" si="25"/>
        <v>0</v>
      </c>
      <c r="V124" s="67">
        <f t="shared" si="26"/>
        <v>0</v>
      </c>
      <c r="W124" s="67">
        <f t="shared" si="27"/>
        <v>0</v>
      </c>
      <c r="X124" s="67">
        <f t="shared" si="30"/>
        <v>0</v>
      </c>
      <c r="Y124" s="67">
        <f t="shared" si="28"/>
        <v>0</v>
      </c>
      <c r="Z124" s="67">
        <f t="shared" si="31"/>
        <v>0</v>
      </c>
    </row>
    <row r="125" spans="15:26" x14ac:dyDescent="0.25">
      <c r="O125" s="67">
        <f>'Пропускная способность'!C155</f>
        <v>0</v>
      </c>
      <c r="P125" s="67">
        <f>'Пропускная способность'!E155</f>
        <v>0</v>
      </c>
      <c r="Q125" s="67">
        <f t="shared" si="24"/>
        <v>0</v>
      </c>
      <c r="R125" s="67">
        <f t="shared" si="24"/>
        <v>0</v>
      </c>
      <c r="S125" s="67">
        <f t="shared" si="32"/>
        <v>0</v>
      </c>
      <c r="T125" s="67">
        <f t="shared" si="32"/>
        <v>0</v>
      </c>
      <c r="U125" s="67">
        <f t="shared" si="25"/>
        <v>0</v>
      </c>
      <c r="V125" s="67">
        <f t="shared" si="26"/>
        <v>0</v>
      </c>
      <c r="W125" s="67">
        <f t="shared" si="27"/>
        <v>0</v>
      </c>
      <c r="X125" s="67">
        <f t="shared" si="30"/>
        <v>0</v>
      </c>
      <c r="Y125" s="67">
        <f t="shared" si="28"/>
        <v>0</v>
      </c>
      <c r="Z125" s="67">
        <f t="shared" si="31"/>
        <v>0</v>
      </c>
    </row>
    <row r="126" spans="15:26" x14ac:dyDescent="0.25">
      <c r="O126" s="67">
        <f>'Пропускная способность'!C156</f>
        <v>0</v>
      </c>
      <c r="P126" s="67">
        <f>'Пропускная способность'!E156</f>
        <v>0</v>
      </c>
      <c r="Q126" s="67">
        <f t="shared" si="24"/>
        <v>0</v>
      </c>
      <c r="R126" s="67">
        <f t="shared" si="24"/>
        <v>0</v>
      </c>
      <c r="S126" s="67">
        <f t="shared" si="32"/>
        <v>0</v>
      </c>
      <c r="T126" s="67">
        <f t="shared" si="32"/>
        <v>0</v>
      </c>
      <c r="U126" s="67">
        <f t="shared" si="25"/>
        <v>0</v>
      </c>
      <c r="V126" s="67">
        <f t="shared" si="26"/>
        <v>0</v>
      </c>
      <c r="W126" s="67">
        <f t="shared" si="27"/>
        <v>0</v>
      </c>
      <c r="X126" s="67">
        <f t="shared" si="30"/>
        <v>0</v>
      </c>
      <c r="Y126" s="67">
        <f t="shared" si="28"/>
        <v>0</v>
      </c>
      <c r="Z126" s="67">
        <f t="shared" si="31"/>
        <v>0</v>
      </c>
    </row>
    <row r="127" spans="15:26" x14ac:dyDescent="0.25">
      <c r="O127" s="67">
        <f>'Пропускная способность'!C157</f>
        <v>0</v>
      </c>
      <c r="P127" s="67">
        <f>'Пропускная способность'!E157</f>
        <v>0</v>
      </c>
      <c r="Q127" s="67">
        <f t="shared" si="24"/>
        <v>0</v>
      </c>
      <c r="R127" s="67">
        <f t="shared" si="24"/>
        <v>0</v>
      </c>
      <c r="S127" s="67">
        <f t="shared" si="32"/>
        <v>0</v>
      </c>
      <c r="T127" s="67">
        <f t="shared" si="32"/>
        <v>0</v>
      </c>
      <c r="U127" s="67">
        <f t="shared" si="25"/>
        <v>0</v>
      </c>
      <c r="V127" s="67">
        <f t="shared" si="26"/>
        <v>0</v>
      </c>
      <c r="W127" s="67">
        <f t="shared" si="27"/>
        <v>0</v>
      </c>
      <c r="X127" s="67">
        <f t="shared" si="30"/>
        <v>0</v>
      </c>
      <c r="Y127" s="67">
        <f t="shared" si="28"/>
        <v>0</v>
      </c>
      <c r="Z127" s="67">
        <f t="shared" si="31"/>
        <v>0</v>
      </c>
    </row>
    <row r="128" spans="15:26" x14ac:dyDescent="0.25">
      <c r="O128" s="67">
        <f>'Пропускная способность'!C158</f>
        <v>0</v>
      </c>
      <c r="P128" s="67">
        <f>'Пропускная способность'!E158</f>
        <v>0</v>
      </c>
      <c r="Q128" s="67">
        <f t="shared" si="24"/>
        <v>0</v>
      </c>
      <c r="R128" s="67">
        <f t="shared" si="24"/>
        <v>0</v>
      </c>
      <c r="S128" s="67">
        <f t="shared" si="32"/>
        <v>0</v>
      </c>
      <c r="T128" s="67">
        <f t="shared" si="32"/>
        <v>0</v>
      </c>
      <c r="U128" s="67">
        <f t="shared" si="25"/>
        <v>0</v>
      </c>
      <c r="V128" s="67">
        <f t="shared" si="26"/>
        <v>0</v>
      </c>
      <c r="W128" s="67">
        <f t="shared" si="27"/>
        <v>0</v>
      </c>
      <c r="X128" s="67">
        <f t="shared" si="30"/>
        <v>0</v>
      </c>
      <c r="Y128" s="67">
        <f t="shared" si="28"/>
        <v>0</v>
      </c>
      <c r="Z128" s="67">
        <f t="shared" si="31"/>
        <v>0</v>
      </c>
    </row>
    <row r="129" spans="15:26" x14ac:dyDescent="0.25">
      <c r="O129" s="67">
        <f>'Пропускная способность'!C159</f>
        <v>0</v>
      </c>
      <c r="P129" s="67">
        <f>'Пропускная способность'!E159</f>
        <v>0</v>
      </c>
      <c r="Q129" s="67">
        <f t="shared" si="24"/>
        <v>0</v>
      </c>
      <c r="R129" s="67">
        <f t="shared" si="24"/>
        <v>0</v>
      </c>
      <c r="S129" s="67">
        <f t="shared" si="32"/>
        <v>0</v>
      </c>
      <c r="T129" s="67">
        <f t="shared" si="32"/>
        <v>0</v>
      </c>
      <c r="U129" s="67">
        <f t="shared" si="25"/>
        <v>0</v>
      </c>
      <c r="V129" s="67">
        <f t="shared" si="26"/>
        <v>0</v>
      </c>
      <c r="W129" s="67">
        <f t="shared" si="27"/>
        <v>0</v>
      </c>
      <c r="X129" s="67">
        <f t="shared" si="30"/>
        <v>0</v>
      </c>
      <c r="Y129" s="67">
        <f t="shared" si="28"/>
        <v>0</v>
      </c>
      <c r="Z129" s="67">
        <f t="shared" si="31"/>
        <v>0</v>
      </c>
    </row>
  </sheetData>
  <autoFilter ref="B5:M20" xr:uid="{00000000-0009-0000-0000-000008000000}"/>
  <mergeCells count="2">
    <mergeCell ref="H4:L4"/>
    <mergeCell ref="W3:Z3"/>
  </mergeCells>
  <dataValidations count="1">
    <dataValidation type="list" allowBlank="1" showInputMessage="1" showErrorMessage="1" sqref="Q4:U4" xr:uid="{14B1FFB3-BD51-41A9-88F1-2066692D9CFA}">
      <formula1>$M$14:$M$18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4C2498-9490-429E-BB31-E93D2575333D}">
          <x14:formula1>
            <xm:f>'План продаж'!$E$6:$E$66</xm:f>
          </x14:formula1>
          <xm:sqref>F6:F20</xm:sqref>
        </x14:dataValidation>
        <x14:dataValidation type="list" allowBlank="1" showInputMessage="1" showErrorMessage="1" xr:uid="{DC751902-1E1A-4D27-AC1B-0A9C67F3A6CD}">
          <x14:formula1>
            <xm:f>'График проекта'!$K$14:$K$18</xm:f>
          </x14:formula1>
          <xm:sqref>E6:E25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9389629810485"/>
  </sheetPr>
  <dimension ref="B1:R66"/>
  <sheetViews>
    <sheetView topLeftCell="C1" workbookViewId="0">
      <selection activeCell="P1" sqref="P1:P1048576"/>
    </sheetView>
  </sheetViews>
  <sheetFormatPr defaultRowHeight="15" outlineLevelCol="1" x14ac:dyDescent="0.25"/>
  <cols>
    <col min="1" max="1" width="9.140625" style="1"/>
    <col min="2" max="2" width="24.42578125" style="1" bestFit="1" customWidth="1"/>
    <col min="3" max="3" width="15" style="1" bestFit="1" customWidth="1"/>
    <col min="4" max="4" width="10.28515625" style="1" customWidth="1"/>
    <col min="5" max="5" width="9.140625" style="1"/>
    <col min="6" max="6" width="15" style="1" customWidth="1" outlineLevel="1"/>
    <col min="7" max="8" width="9.140625" style="1" customWidth="1" outlineLevel="1"/>
    <col min="9" max="9" width="10.140625" style="110" bestFit="1" customWidth="1" outlineLevel="1"/>
    <col min="10" max="10" width="20.42578125" style="1" bestFit="1" customWidth="1"/>
    <col min="11" max="11" width="24.140625" style="1" bestFit="1" customWidth="1"/>
    <col min="12" max="12" width="14.7109375" style="1" bestFit="1" customWidth="1"/>
    <col min="13" max="13" width="18.85546875" style="1" bestFit="1" customWidth="1"/>
    <col min="14" max="14" width="25.85546875" style="1" bestFit="1" customWidth="1"/>
    <col min="15" max="15" width="14.140625" style="1" bestFit="1" customWidth="1"/>
    <col min="16" max="16" width="20.7109375" style="1" bestFit="1" customWidth="1"/>
    <col min="17" max="17" width="21.140625" style="1" bestFit="1" customWidth="1"/>
    <col min="18" max="18" width="18.5703125" style="1" bestFit="1" customWidth="1"/>
    <col min="19" max="16384" width="9.140625" style="1"/>
  </cols>
  <sheetData>
    <row r="1" spans="2:18" ht="21" x14ac:dyDescent="0.35">
      <c r="B1" s="43" t="s">
        <v>206</v>
      </c>
    </row>
    <row r="2" spans="2:18" ht="11.25" customHeight="1" x14ac:dyDescent="0.35">
      <c r="B2" s="95"/>
      <c r="C2" s="95"/>
      <c r="D2" s="95"/>
      <c r="E2" s="95"/>
      <c r="F2" s="95"/>
      <c r="G2" s="95"/>
      <c r="H2" s="95"/>
      <c r="I2" s="121"/>
      <c r="J2" s="95"/>
      <c r="K2" s="95"/>
      <c r="L2" s="95"/>
      <c r="M2" s="95"/>
      <c r="N2" s="95"/>
      <c r="O2" s="95"/>
      <c r="P2" s="95"/>
      <c r="Q2" s="95"/>
      <c r="R2" s="95"/>
    </row>
    <row r="4" spans="2:18" ht="15.75" thickBot="1" x14ac:dyDescent="0.3"/>
    <row r="5" spans="2:18" ht="17.25" thickTop="1" thickBot="1" x14ac:dyDescent="0.3">
      <c r="B5" s="97" t="s">
        <v>186</v>
      </c>
      <c r="C5" s="5">
        <v>43159</v>
      </c>
      <c r="F5" s="26" t="s">
        <v>45</v>
      </c>
      <c r="G5" s="26" t="s">
        <v>7</v>
      </c>
      <c r="H5" s="26" t="s">
        <v>46</v>
      </c>
      <c r="I5" s="100" t="s">
        <v>47</v>
      </c>
      <c r="J5" s="26" t="s">
        <v>190</v>
      </c>
      <c r="K5" s="26" t="s">
        <v>191</v>
      </c>
      <c r="L5" s="26" t="s">
        <v>192</v>
      </c>
      <c r="M5" s="26" t="s">
        <v>193</v>
      </c>
      <c r="N5" s="26" t="s">
        <v>198</v>
      </c>
      <c r="O5" s="26" t="s">
        <v>195</v>
      </c>
      <c r="P5" s="26" t="s">
        <v>196</v>
      </c>
      <c r="Q5" s="26" t="s">
        <v>70</v>
      </c>
      <c r="R5" s="26" t="s">
        <v>197</v>
      </c>
    </row>
    <row r="6" spans="2:18" ht="16.5" thickTop="1" x14ac:dyDescent="0.25">
      <c r="B6" s="108" t="s">
        <v>189</v>
      </c>
      <c r="C6" s="85">
        <v>1</v>
      </c>
      <c r="F6" s="67">
        <v>0</v>
      </c>
      <c r="G6" s="67">
        <f>Настройки!$I$9</f>
        <v>2</v>
      </c>
      <c r="H6" s="67">
        <f t="shared" ref="H6:H66" si="0">YEAR(I6)</f>
        <v>2018</v>
      </c>
      <c r="I6" s="122">
        <f t="shared" ref="I6:I37" si="1">EOMONTH(ДатаНачала,F6)</f>
        <v>43159</v>
      </c>
      <c r="J6" s="67">
        <v>0</v>
      </c>
      <c r="K6" s="67">
        <f t="shared" ref="K6:K37" si="2">IF(F6=$C$6,$C$8,0)</f>
        <v>0</v>
      </c>
      <c r="L6" s="67">
        <f t="shared" ref="L6:L37" si="3">-IF(IF(AND(F6&gt;$C$6,F6&lt;=($C$6+$C$11)),J6/($C$11+$C$6-$F5),0)&lt;0,0,IF(AND(F6&gt;$C$6,F6&lt;=($C$6+$C$11)),J6/($C$11+$C$6-$F5),0))</f>
        <v>0</v>
      </c>
      <c r="M6" s="67">
        <f t="shared" ref="M6:M8" si="4">J6+K6+L6</f>
        <v>0</v>
      </c>
      <c r="N6" s="106"/>
      <c r="O6" s="67">
        <v>0</v>
      </c>
      <c r="P6" s="67">
        <f>IF(F6&lt;=($C$6+$C$11),M6*C10/12)</f>
        <v>0</v>
      </c>
      <c r="Q6" s="67"/>
      <c r="R6" s="67">
        <f>O6+P6-Q6</f>
        <v>0</v>
      </c>
    </row>
    <row r="7" spans="2:18" x14ac:dyDescent="0.25">
      <c r="B7" s="97"/>
      <c r="F7" s="67">
        <f t="shared" ref="F7:G22" si="5">F6+1</f>
        <v>1</v>
      </c>
      <c r="G7" s="67">
        <f t="shared" si="5"/>
        <v>3</v>
      </c>
      <c r="H7" s="67">
        <f t="shared" si="0"/>
        <v>2018</v>
      </c>
      <c r="I7" s="122">
        <f t="shared" si="1"/>
        <v>43190</v>
      </c>
      <c r="J7" s="67">
        <f>M6</f>
        <v>0</v>
      </c>
      <c r="K7" s="67">
        <f t="shared" si="2"/>
        <v>5500000</v>
      </c>
      <c r="L7" s="67">
        <f t="shared" si="3"/>
        <v>0</v>
      </c>
      <c r="M7" s="67">
        <f t="shared" si="4"/>
        <v>5500000</v>
      </c>
      <c r="N7" s="106"/>
      <c r="O7" s="67">
        <f>R6</f>
        <v>0</v>
      </c>
      <c r="P7" s="67">
        <f>IF(F7&lt;=($C$6+$C$11),M7*($C$10/12),0)</f>
        <v>68750</v>
      </c>
      <c r="Q7" s="67"/>
      <c r="R7" s="67">
        <f>O7+P7+Q7</f>
        <v>68750</v>
      </c>
    </row>
    <row r="8" spans="2:18" ht="15.75" x14ac:dyDescent="0.25">
      <c r="B8" s="97" t="s">
        <v>187</v>
      </c>
      <c r="C8" s="130">
        <v>5500000</v>
      </c>
      <c r="F8" s="67">
        <f t="shared" si="5"/>
        <v>2</v>
      </c>
      <c r="G8" s="67">
        <f t="shared" si="5"/>
        <v>4</v>
      </c>
      <c r="H8" s="67">
        <f t="shared" si="0"/>
        <v>2018</v>
      </c>
      <c r="I8" s="122">
        <f t="shared" si="1"/>
        <v>43220</v>
      </c>
      <c r="J8" s="67">
        <f>M7+N7</f>
        <v>5500000</v>
      </c>
      <c r="K8" s="67">
        <f t="shared" si="2"/>
        <v>0</v>
      </c>
      <c r="L8" s="67">
        <f t="shared" si="3"/>
        <v>-152777.77777777778</v>
      </c>
      <c r="M8" s="67">
        <f t="shared" si="4"/>
        <v>5347222.222222222</v>
      </c>
      <c r="N8" s="106"/>
      <c r="O8" s="67">
        <f>R7</f>
        <v>68750</v>
      </c>
      <c r="P8" s="67">
        <f t="shared" ref="P8:P66" si="6">IF(F8&lt;=($C$6+$C$11),M8*($C$10/12),0)</f>
        <v>66840.277777777766</v>
      </c>
      <c r="Q8" s="67">
        <f>-P7</f>
        <v>-68750</v>
      </c>
      <c r="R8" s="67">
        <f t="shared" ref="R8:R66" si="7">O8+P8+Q8</f>
        <v>66840.277777777752</v>
      </c>
    </row>
    <row r="9" spans="2:18" x14ac:dyDescent="0.25">
      <c r="B9" s="97"/>
      <c r="F9" s="67">
        <f t="shared" si="5"/>
        <v>3</v>
      </c>
      <c r="G9" s="67">
        <f t="shared" si="5"/>
        <v>5</v>
      </c>
      <c r="H9" s="67">
        <f t="shared" si="0"/>
        <v>2018</v>
      </c>
      <c r="I9" s="122">
        <f t="shared" si="1"/>
        <v>43251</v>
      </c>
      <c r="J9" s="67">
        <f t="shared" ref="J9:J66" si="8">M8+N8</f>
        <v>5347222.222222222</v>
      </c>
      <c r="K9" s="67">
        <f t="shared" si="2"/>
        <v>0</v>
      </c>
      <c r="L9" s="67">
        <f t="shared" si="3"/>
        <v>-152777.77777777778</v>
      </c>
      <c r="M9" s="67">
        <f>J9+K9+L9</f>
        <v>5194444.444444444</v>
      </c>
      <c r="N9" s="106"/>
      <c r="O9" s="67">
        <f t="shared" ref="O9:O66" si="9">R8</f>
        <v>66840.277777777752</v>
      </c>
      <c r="P9" s="67">
        <f t="shared" si="6"/>
        <v>64930.555555555547</v>
      </c>
      <c r="Q9" s="67">
        <f t="shared" ref="Q9:Q66" si="10">-P8</f>
        <v>-66840.277777777766</v>
      </c>
      <c r="R9" s="67">
        <f t="shared" si="7"/>
        <v>64930.555555555547</v>
      </c>
    </row>
    <row r="10" spans="2:18" ht="15.75" x14ac:dyDescent="0.25">
      <c r="B10" s="73" t="s">
        <v>188</v>
      </c>
      <c r="C10" s="90">
        <v>0.15</v>
      </c>
      <c r="F10" s="67">
        <f t="shared" si="5"/>
        <v>4</v>
      </c>
      <c r="G10" s="67">
        <f t="shared" si="5"/>
        <v>6</v>
      </c>
      <c r="H10" s="67">
        <f t="shared" si="0"/>
        <v>2018</v>
      </c>
      <c r="I10" s="122">
        <f t="shared" si="1"/>
        <v>43281</v>
      </c>
      <c r="J10" s="67">
        <f t="shared" si="8"/>
        <v>5194444.444444444</v>
      </c>
      <c r="K10" s="67">
        <f t="shared" si="2"/>
        <v>0</v>
      </c>
      <c r="L10" s="67">
        <f t="shared" si="3"/>
        <v>-152777.77777777775</v>
      </c>
      <c r="M10" s="67">
        <f t="shared" ref="M10:M66" si="11">J10+K10+L10</f>
        <v>5041666.666666666</v>
      </c>
      <c r="N10" s="106"/>
      <c r="O10" s="67">
        <f t="shared" si="9"/>
        <v>64930.555555555547</v>
      </c>
      <c r="P10" s="67">
        <f t="shared" si="6"/>
        <v>63020.833333333321</v>
      </c>
      <c r="Q10" s="67">
        <f t="shared" si="10"/>
        <v>-64930.555555555547</v>
      </c>
      <c r="R10" s="67">
        <f t="shared" si="7"/>
        <v>63020.833333333328</v>
      </c>
    </row>
    <row r="11" spans="2:18" ht="15.75" x14ac:dyDescent="0.25">
      <c r="B11" s="108" t="s">
        <v>194</v>
      </c>
      <c r="C11" s="85">
        <v>36</v>
      </c>
      <c r="F11" s="67">
        <f t="shared" si="5"/>
        <v>5</v>
      </c>
      <c r="G11" s="67">
        <f t="shared" ref="G11:G66" si="12">IF(G10=12,1,G10+1)</f>
        <v>7</v>
      </c>
      <c r="H11" s="67">
        <f t="shared" si="0"/>
        <v>2018</v>
      </c>
      <c r="I11" s="122">
        <f t="shared" si="1"/>
        <v>43312</v>
      </c>
      <c r="J11" s="67">
        <f t="shared" si="8"/>
        <v>5041666.666666666</v>
      </c>
      <c r="K11" s="67">
        <f t="shared" si="2"/>
        <v>0</v>
      </c>
      <c r="L11" s="67">
        <f t="shared" si="3"/>
        <v>-152777.77777777775</v>
      </c>
      <c r="M11" s="67">
        <f t="shared" si="11"/>
        <v>4888888.8888888881</v>
      </c>
      <c r="N11" s="106"/>
      <c r="O11" s="67">
        <f t="shared" si="9"/>
        <v>63020.833333333328</v>
      </c>
      <c r="P11" s="67">
        <f t="shared" si="6"/>
        <v>61111.111111111095</v>
      </c>
      <c r="Q11" s="67">
        <f t="shared" si="10"/>
        <v>-63020.833333333321</v>
      </c>
      <c r="R11" s="67">
        <f t="shared" si="7"/>
        <v>61111.111111111102</v>
      </c>
    </row>
    <row r="12" spans="2:18" x14ac:dyDescent="0.25">
      <c r="F12" s="67">
        <f t="shared" si="5"/>
        <v>6</v>
      </c>
      <c r="G12" s="67">
        <f t="shared" si="12"/>
        <v>8</v>
      </c>
      <c r="H12" s="67">
        <f t="shared" si="0"/>
        <v>2018</v>
      </c>
      <c r="I12" s="122">
        <f t="shared" si="1"/>
        <v>43343</v>
      </c>
      <c r="J12" s="67">
        <f t="shared" si="8"/>
        <v>4888888.8888888881</v>
      </c>
      <c r="K12" s="67">
        <f t="shared" si="2"/>
        <v>0</v>
      </c>
      <c r="L12" s="67">
        <f t="shared" si="3"/>
        <v>-152777.77777777775</v>
      </c>
      <c r="M12" s="67">
        <f t="shared" si="11"/>
        <v>4736111.1111111101</v>
      </c>
      <c r="N12" s="106"/>
      <c r="O12" s="67">
        <f t="shared" si="9"/>
        <v>61111.111111111102</v>
      </c>
      <c r="P12" s="67">
        <f t="shared" si="6"/>
        <v>59201.388888888869</v>
      </c>
      <c r="Q12" s="67">
        <f t="shared" si="10"/>
        <v>-61111.111111111095</v>
      </c>
      <c r="R12" s="67">
        <f t="shared" si="7"/>
        <v>59201.388888888876</v>
      </c>
    </row>
    <row r="13" spans="2:18" x14ac:dyDescent="0.25">
      <c r="F13" s="67">
        <f t="shared" si="5"/>
        <v>7</v>
      </c>
      <c r="G13" s="67">
        <f t="shared" si="12"/>
        <v>9</v>
      </c>
      <c r="H13" s="67">
        <f t="shared" si="0"/>
        <v>2018</v>
      </c>
      <c r="I13" s="122">
        <f t="shared" si="1"/>
        <v>43373</v>
      </c>
      <c r="J13" s="67">
        <f t="shared" si="8"/>
        <v>4736111.1111111101</v>
      </c>
      <c r="K13" s="67">
        <f t="shared" si="2"/>
        <v>0</v>
      </c>
      <c r="L13" s="67">
        <f t="shared" si="3"/>
        <v>-152777.77777777775</v>
      </c>
      <c r="M13" s="67">
        <f t="shared" si="11"/>
        <v>4583333.3333333321</v>
      </c>
      <c r="N13" s="106"/>
      <c r="O13" s="67">
        <f t="shared" si="9"/>
        <v>59201.388888888876</v>
      </c>
      <c r="P13" s="67">
        <f t="shared" si="6"/>
        <v>57291.66666666665</v>
      </c>
      <c r="Q13" s="67">
        <f t="shared" si="10"/>
        <v>-59201.388888888869</v>
      </c>
      <c r="R13" s="67">
        <f t="shared" si="7"/>
        <v>57291.666666666664</v>
      </c>
    </row>
    <row r="14" spans="2:18" x14ac:dyDescent="0.25">
      <c r="F14" s="67">
        <f t="shared" si="5"/>
        <v>8</v>
      </c>
      <c r="G14" s="67">
        <f t="shared" si="12"/>
        <v>10</v>
      </c>
      <c r="H14" s="67">
        <f t="shared" si="0"/>
        <v>2018</v>
      </c>
      <c r="I14" s="122">
        <f t="shared" si="1"/>
        <v>43404</v>
      </c>
      <c r="J14" s="67">
        <f t="shared" si="8"/>
        <v>4583333.3333333321</v>
      </c>
      <c r="K14" s="67">
        <f t="shared" si="2"/>
        <v>0</v>
      </c>
      <c r="L14" s="67">
        <f t="shared" si="3"/>
        <v>-152777.77777777772</v>
      </c>
      <c r="M14" s="67">
        <f t="shared" si="11"/>
        <v>4430555.5555555541</v>
      </c>
      <c r="N14" s="106"/>
      <c r="O14" s="67">
        <f t="shared" si="9"/>
        <v>57291.666666666664</v>
      </c>
      <c r="P14" s="67">
        <f t="shared" si="6"/>
        <v>55381.944444444423</v>
      </c>
      <c r="Q14" s="67">
        <f t="shared" si="10"/>
        <v>-57291.66666666665</v>
      </c>
      <c r="R14" s="67">
        <f t="shared" si="7"/>
        <v>55381.944444444445</v>
      </c>
    </row>
    <row r="15" spans="2:18" x14ac:dyDescent="0.25">
      <c r="F15" s="67">
        <f t="shared" si="5"/>
        <v>9</v>
      </c>
      <c r="G15" s="67">
        <f t="shared" si="12"/>
        <v>11</v>
      </c>
      <c r="H15" s="67">
        <f t="shared" si="0"/>
        <v>2018</v>
      </c>
      <c r="I15" s="122">
        <f t="shared" si="1"/>
        <v>43434</v>
      </c>
      <c r="J15" s="67">
        <f t="shared" si="8"/>
        <v>4430555.5555555541</v>
      </c>
      <c r="K15" s="67">
        <f t="shared" si="2"/>
        <v>0</v>
      </c>
      <c r="L15" s="67">
        <f t="shared" si="3"/>
        <v>-152777.77777777772</v>
      </c>
      <c r="M15" s="67">
        <f t="shared" si="11"/>
        <v>4277777.7777777761</v>
      </c>
      <c r="N15" s="106"/>
      <c r="O15" s="67">
        <f t="shared" si="9"/>
        <v>55381.944444444445</v>
      </c>
      <c r="P15" s="67">
        <f t="shared" si="6"/>
        <v>53472.222222222197</v>
      </c>
      <c r="Q15" s="67">
        <f t="shared" si="10"/>
        <v>-55381.944444444423</v>
      </c>
      <c r="R15" s="67">
        <f t="shared" si="7"/>
        <v>53472.222222222219</v>
      </c>
    </row>
    <row r="16" spans="2:18" x14ac:dyDescent="0.25">
      <c r="F16" s="67">
        <f t="shared" si="5"/>
        <v>10</v>
      </c>
      <c r="G16" s="67">
        <f t="shared" si="12"/>
        <v>12</v>
      </c>
      <c r="H16" s="67">
        <f t="shared" si="0"/>
        <v>2018</v>
      </c>
      <c r="I16" s="122">
        <f t="shared" si="1"/>
        <v>43465</v>
      </c>
      <c r="J16" s="67">
        <f t="shared" si="8"/>
        <v>4277777.7777777761</v>
      </c>
      <c r="K16" s="67">
        <f t="shared" si="2"/>
        <v>0</v>
      </c>
      <c r="L16" s="67">
        <f t="shared" si="3"/>
        <v>-152777.77777777772</v>
      </c>
      <c r="M16" s="67">
        <f t="shared" si="11"/>
        <v>4124999.9999999986</v>
      </c>
      <c r="N16" s="106"/>
      <c r="O16" s="67">
        <f t="shared" si="9"/>
        <v>53472.222222222219</v>
      </c>
      <c r="P16" s="67">
        <f t="shared" si="6"/>
        <v>51562.499999999978</v>
      </c>
      <c r="Q16" s="67">
        <f t="shared" si="10"/>
        <v>-53472.222222222197</v>
      </c>
      <c r="R16" s="67">
        <f t="shared" si="7"/>
        <v>51562.499999999993</v>
      </c>
    </row>
    <row r="17" spans="6:18" x14ac:dyDescent="0.25">
      <c r="F17" s="67">
        <f t="shared" si="5"/>
        <v>11</v>
      </c>
      <c r="G17" s="67">
        <f t="shared" si="12"/>
        <v>1</v>
      </c>
      <c r="H17" s="67">
        <f t="shared" si="0"/>
        <v>2019</v>
      </c>
      <c r="I17" s="122">
        <f t="shared" si="1"/>
        <v>43496</v>
      </c>
      <c r="J17" s="67">
        <f t="shared" si="8"/>
        <v>4124999.9999999986</v>
      </c>
      <c r="K17" s="67">
        <f t="shared" si="2"/>
        <v>0</v>
      </c>
      <c r="L17" s="67">
        <f t="shared" si="3"/>
        <v>-152777.77777777772</v>
      </c>
      <c r="M17" s="67">
        <f t="shared" si="11"/>
        <v>3972222.2222222211</v>
      </c>
      <c r="N17" s="106"/>
      <c r="O17" s="67">
        <f t="shared" si="9"/>
        <v>51562.499999999993</v>
      </c>
      <c r="P17" s="67">
        <f t="shared" si="6"/>
        <v>49652.777777777759</v>
      </c>
      <c r="Q17" s="67">
        <f t="shared" si="10"/>
        <v>-51562.499999999978</v>
      </c>
      <c r="R17" s="67">
        <f t="shared" si="7"/>
        <v>49652.777777777774</v>
      </c>
    </row>
    <row r="18" spans="6:18" x14ac:dyDescent="0.25">
      <c r="F18" s="67">
        <f t="shared" si="5"/>
        <v>12</v>
      </c>
      <c r="G18" s="67">
        <f t="shared" si="12"/>
        <v>2</v>
      </c>
      <c r="H18" s="67">
        <f t="shared" si="0"/>
        <v>2019</v>
      </c>
      <c r="I18" s="122">
        <f t="shared" si="1"/>
        <v>43524</v>
      </c>
      <c r="J18" s="67">
        <f t="shared" si="8"/>
        <v>3972222.2222222211</v>
      </c>
      <c r="K18" s="67">
        <f t="shared" si="2"/>
        <v>0</v>
      </c>
      <c r="L18" s="67">
        <f t="shared" si="3"/>
        <v>-152777.77777777772</v>
      </c>
      <c r="M18" s="67">
        <f t="shared" si="11"/>
        <v>3819444.4444444436</v>
      </c>
      <c r="N18" s="106"/>
      <c r="O18" s="67">
        <f t="shared" si="9"/>
        <v>49652.777777777774</v>
      </c>
      <c r="P18" s="67">
        <f t="shared" si="6"/>
        <v>47743.05555555554</v>
      </c>
      <c r="Q18" s="67">
        <f t="shared" si="10"/>
        <v>-49652.777777777759</v>
      </c>
      <c r="R18" s="67">
        <f t="shared" si="7"/>
        <v>47743.055555555555</v>
      </c>
    </row>
    <row r="19" spans="6:18" x14ac:dyDescent="0.25">
      <c r="F19" s="67">
        <f t="shared" si="5"/>
        <v>13</v>
      </c>
      <c r="G19" s="67">
        <f t="shared" si="12"/>
        <v>3</v>
      </c>
      <c r="H19" s="67">
        <f t="shared" si="0"/>
        <v>2019</v>
      </c>
      <c r="I19" s="122">
        <f t="shared" si="1"/>
        <v>43555</v>
      </c>
      <c r="J19" s="67">
        <f t="shared" si="8"/>
        <v>3819444.4444444436</v>
      </c>
      <c r="K19" s="67">
        <f t="shared" si="2"/>
        <v>0</v>
      </c>
      <c r="L19" s="67">
        <f t="shared" si="3"/>
        <v>-152777.77777777775</v>
      </c>
      <c r="M19" s="67">
        <f t="shared" si="11"/>
        <v>3666666.666666666</v>
      </c>
      <c r="N19" s="106"/>
      <c r="O19" s="67">
        <f t="shared" si="9"/>
        <v>47743.055555555555</v>
      </c>
      <c r="P19" s="67">
        <f t="shared" si="6"/>
        <v>45833.333333333321</v>
      </c>
      <c r="Q19" s="67">
        <f t="shared" si="10"/>
        <v>-47743.05555555554</v>
      </c>
      <c r="R19" s="67">
        <f t="shared" si="7"/>
        <v>45833.333333333336</v>
      </c>
    </row>
    <row r="20" spans="6:18" x14ac:dyDescent="0.25">
      <c r="F20" s="67">
        <f t="shared" si="5"/>
        <v>14</v>
      </c>
      <c r="G20" s="67">
        <f t="shared" si="12"/>
        <v>4</v>
      </c>
      <c r="H20" s="67">
        <f t="shared" si="0"/>
        <v>2019</v>
      </c>
      <c r="I20" s="122">
        <f t="shared" si="1"/>
        <v>43585</v>
      </c>
      <c r="J20" s="67">
        <f t="shared" si="8"/>
        <v>3666666.666666666</v>
      </c>
      <c r="K20" s="67">
        <f t="shared" si="2"/>
        <v>0</v>
      </c>
      <c r="L20" s="67">
        <f t="shared" si="3"/>
        <v>-152777.77777777775</v>
      </c>
      <c r="M20" s="67">
        <f t="shared" si="11"/>
        <v>3513888.8888888881</v>
      </c>
      <c r="N20" s="106"/>
      <c r="O20" s="67">
        <f t="shared" si="9"/>
        <v>45833.333333333336</v>
      </c>
      <c r="P20" s="67">
        <f t="shared" si="6"/>
        <v>43923.611111111095</v>
      </c>
      <c r="Q20" s="67">
        <f t="shared" si="10"/>
        <v>-45833.333333333321</v>
      </c>
      <c r="R20" s="67">
        <f t="shared" si="7"/>
        <v>43923.611111111117</v>
      </c>
    </row>
    <row r="21" spans="6:18" x14ac:dyDescent="0.25">
      <c r="F21" s="67">
        <f t="shared" si="5"/>
        <v>15</v>
      </c>
      <c r="G21" s="67">
        <f t="shared" si="12"/>
        <v>5</v>
      </c>
      <c r="H21" s="67">
        <f t="shared" si="0"/>
        <v>2019</v>
      </c>
      <c r="I21" s="122">
        <f t="shared" si="1"/>
        <v>43616</v>
      </c>
      <c r="J21" s="67">
        <f t="shared" si="8"/>
        <v>3513888.8888888881</v>
      </c>
      <c r="K21" s="67">
        <f t="shared" si="2"/>
        <v>0</v>
      </c>
      <c r="L21" s="67">
        <f t="shared" si="3"/>
        <v>-152777.77777777775</v>
      </c>
      <c r="M21" s="67">
        <f t="shared" si="11"/>
        <v>3361111.1111111101</v>
      </c>
      <c r="N21" s="106"/>
      <c r="O21" s="67">
        <f t="shared" si="9"/>
        <v>43923.611111111117</v>
      </c>
      <c r="P21" s="67">
        <f t="shared" si="6"/>
        <v>42013.888888888876</v>
      </c>
      <c r="Q21" s="67">
        <f t="shared" si="10"/>
        <v>-43923.611111111095</v>
      </c>
      <c r="R21" s="67">
        <f t="shared" si="7"/>
        <v>42013.888888888905</v>
      </c>
    </row>
    <row r="22" spans="6:18" x14ac:dyDescent="0.25">
      <c r="F22" s="67">
        <f t="shared" si="5"/>
        <v>16</v>
      </c>
      <c r="G22" s="67">
        <f t="shared" si="12"/>
        <v>6</v>
      </c>
      <c r="H22" s="67">
        <f t="shared" si="0"/>
        <v>2019</v>
      </c>
      <c r="I22" s="122">
        <f t="shared" si="1"/>
        <v>43646</v>
      </c>
      <c r="J22" s="67">
        <f t="shared" si="8"/>
        <v>3361111.1111111101</v>
      </c>
      <c r="K22" s="67">
        <f t="shared" si="2"/>
        <v>0</v>
      </c>
      <c r="L22" s="67">
        <f t="shared" si="3"/>
        <v>-152777.77777777772</v>
      </c>
      <c r="M22" s="67">
        <f t="shared" si="11"/>
        <v>3208333.3333333326</v>
      </c>
      <c r="N22" s="106"/>
      <c r="O22" s="67">
        <f t="shared" si="9"/>
        <v>42013.888888888905</v>
      </c>
      <c r="P22" s="67">
        <f t="shared" si="6"/>
        <v>40104.166666666657</v>
      </c>
      <c r="Q22" s="67">
        <f t="shared" si="10"/>
        <v>-42013.888888888876</v>
      </c>
      <c r="R22" s="67">
        <f t="shared" si="7"/>
        <v>40104.166666666686</v>
      </c>
    </row>
    <row r="23" spans="6:18" x14ac:dyDescent="0.25">
      <c r="F23" s="67">
        <f t="shared" ref="F23:F66" si="13">F22+1</f>
        <v>17</v>
      </c>
      <c r="G23" s="67">
        <f t="shared" si="12"/>
        <v>7</v>
      </c>
      <c r="H23" s="67">
        <f t="shared" si="0"/>
        <v>2019</v>
      </c>
      <c r="I23" s="122">
        <f t="shared" si="1"/>
        <v>43677</v>
      </c>
      <c r="J23" s="67">
        <f t="shared" si="8"/>
        <v>3208333.3333333326</v>
      </c>
      <c r="K23" s="67">
        <f t="shared" si="2"/>
        <v>0</v>
      </c>
      <c r="L23" s="67">
        <f t="shared" si="3"/>
        <v>-152777.77777777775</v>
      </c>
      <c r="M23" s="67">
        <f t="shared" si="11"/>
        <v>3055555.555555555</v>
      </c>
      <c r="N23" s="106"/>
      <c r="O23" s="67">
        <f t="shared" si="9"/>
        <v>40104.166666666686</v>
      </c>
      <c r="P23" s="67">
        <f t="shared" si="6"/>
        <v>38194.444444444438</v>
      </c>
      <c r="Q23" s="67">
        <f t="shared" si="10"/>
        <v>-40104.166666666657</v>
      </c>
      <c r="R23" s="67">
        <f t="shared" si="7"/>
        <v>38194.444444444467</v>
      </c>
    </row>
    <row r="24" spans="6:18" x14ac:dyDescent="0.25">
      <c r="F24" s="67">
        <f t="shared" si="13"/>
        <v>18</v>
      </c>
      <c r="G24" s="67">
        <f t="shared" si="12"/>
        <v>8</v>
      </c>
      <c r="H24" s="67">
        <f t="shared" si="0"/>
        <v>2019</v>
      </c>
      <c r="I24" s="122">
        <f t="shared" si="1"/>
        <v>43708</v>
      </c>
      <c r="J24" s="67">
        <f t="shared" si="8"/>
        <v>3055555.555555555</v>
      </c>
      <c r="K24" s="67">
        <f t="shared" si="2"/>
        <v>0</v>
      </c>
      <c r="L24" s="67">
        <f t="shared" si="3"/>
        <v>-152777.77777777775</v>
      </c>
      <c r="M24" s="67">
        <f t="shared" si="11"/>
        <v>2902777.7777777771</v>
      </c>
      <c r="N24" s="106"/>
      <c r="O24" s="67">
        <f t="shared" si="9"/>
        <v>38194.444444444467</v>
      </c>
      <c r="P24" s="67">
        <f t="shared" si="6"/>
        <v>36284.722222222212</v>
      </c>
      <c r="Q24" s="67">
        <f t="shared" si="10"/>
        <v>-38194.444444444438</v>
      </c>
      <c r="R24" s="67">
        <f t="shared" si="7"/>
        <v>36284.722222222248</v>
      </c>
    </row>
    <row r="25" spans="6:18" x14ac:dyDescent="0.25">
      <c r="F25" s="67">
        <f t="shared" si="13"/>
        <v>19</v>
      </c>
      <c r="G25" s="67">
        <f t="shared" si="12"/>
        <v>9</v>
      </c>
      <c r="H25" s="67">
        <f t="shared" si="0"/>
        <v>2019</v>
      </c>
      <c r="I25" s="122">
        <f t="shared" si="1"/>
        <v>43738</v>
      </c>
      <c r="J25" s="67">
        <f t="shared" si="8"/>
        <v>2902777.7777777771</v>
      </c>
      <c r="K25" s="67">
        <f t="shared" si="2"/>
        <v>0</v>
      </c>
      <c r="L25" s="67">
        <f t="shared" si="3"/>
        <v>-152777.77777777775</v>
      </c>
      <c r="M25" s="67">
        <f t="shared" si="11"/>
        <v>2749999.9999999991</v>
      </c>
      <c r="N25" s="106"/>
      <c r="O25" s="67">
        <f t="shared" si="9"/>
        <v>36284.722222222248</v>
      </c>
      <c r="P25" s="67">
        <f t="shared" si="6"/>
        <v>34374.999999999985</v>
      </c>
      <c r="Q25" s="67">
        <f t="shared" si="10"/>
        <v>-36284.722222222212</v>
      </c>
      <c r="R25" s="67">
        <f t="shared" si="7"/>
        <v>34375.000000000022</v>
      </c>
    </row>
    <row r="26" spans="6:18" x14ac:dyDescent="0.25">
      <c r="F26" s="67">
        <f t="shared" si="13"/>
        <v>20</v>
      </c>
      <c r="G26" s="67">
        <f t="shared" si="12"/>
        <v>10</v>
      </c>
      <c r="H26" s="67">
        <f t="shared" si="0"/>
        <v>2019</v>
      </c>
      <c r="I26" s="122">
        <f t="shared" si="1"/>
        <v>43769</v>
      </c>
      <c r="J26" s="67">
        <f t="shared" si="8"/>
        <v>2749999.9999999991</v>
      </c>
      <c r="K26" s="67">
        <f t="shared" si="2"/>
        <v>0</v>
      </c>
      <c r="L26" s="67">
        <f t="shared" si="3"/>
        <v>-152777.77777777772</v>
      </c>
      <c r="M26" s="67">
        <f t="shared" si="11"/>
        <v>2597222.2222222215</v>
      </c>
      <c r="N26" s="106"/>
      <c r="O26" s="67">
        <f t="shared" si="9"/>
        <v>34375.000000000022</v>
      </c>
      <c r="P26" s="67">
        <f t="shared" si="6"/>
        <v>32465.277777777766</v>
      </c>
      <c r="Q26" s="67">
        <f t="shared" si="10"/>
        <v>-34374.999999999985</v>
      </c>
      <c r="R26" s="67">
        <f t="shared" si="7"/>
        <v>32465.277777777796</v>
      </c>
    </row>
    <row r="27" spans="6:18" x14ac:dyDescent="0.25">
      <c r="F27" s="67">
        <f t="shared" si="13"/>
        <v>21</v>
      </c>
      <c r="G27" s="67">
        <f t="shared" si="12"/>
        <v>11</v>
      </c>
      <c r="H27" s="67">
        <f t="shared" si="0"/>
        <v>2019</v>
      </c>
      <c r="I27" s="122">
        <f t="shared" si="1"/>
        <v>43799</v>
      </c>
      <c r="J27" s="67">
        <f t="shared" si="8"/>
        <v>2597222.2222222215</v>
      </c>
      <c r="K27" s="67">
        <f t="shared" si="2"/>
        <v>0</v>
      </c>
      <c r="L27" s="67">
        <f t="shared" si="3"/>
        <v>-152777.77777777775</v>
      </c>
      <c r="M27" s="67">
        <f t="shared" si="11"/>
        <v>2444444.444444444</v>
      </c>
      <c r="N27" s="106"/>
      <c r="O27" s="67">
        <f t="shared" si="9"/>
        <v>32465.277777777796</v>
      </c>
      <c r="P27" s="67">
        <f t="shared" si="6"/>
        <v>30555.555555555547</v>
      </c>
      <c r="Q27" s="67">
        <f t="shared" si="10"/>
        <v>-32465.277777777766</v>
      </c>
      <c r="R27" s="67">
        <f t="shared" si="7"/>
        <v>30555.555555555577</v>
      </c>
    </row>
    <row r="28" spans="6:18" x14ac:dyDescent="0.25">
      <c r="F28" s="67">
        <f t="shared" si="13"/>
        <v>22</v>
      </c>
      <c r="G28" s="67">
        <f t="shared" si="12"/>
        <v>12</v>
      </c>
      <c r="H28" s="67">
        <f t="shared" si="0"/>
        <v>2019</v>
      </c>
      <c r="I28" s="122">
        <f t="shared" si="1"/>
        <v>43830</v>
      </c>
      <c r="J28" s="67">
        <f t="shared" si="8"/>
        <v>2444444.444444444</v>
      </c>
      <c r="K28" s="67">
        <f t="shared" si="2"/>
        <v>0</v>
      </c>
      <c r="L28" s="67">
        <f t="shared" si="3"/>
        <v>-152777.77777777775</v>
      </c>
      <c r="M28" s="67">
        <f t="shared" si="11"/>
        <v>2291666.666666666</v>
      </c>
      <c r="N28" s="106"/>
      <c r="O28" s="67">
        <f t="shared" si="9"/>
        <v>30555.555555555577</v>
      </c>
      <c r="P28" s="67">
        <f t="shared" si="6"/>
        <v>28645.833333333325</v>
      </c>
      <c r="Q28" s="67">
        <f t="shared" si="10"/>
        <v>-30555.555555555547</v>
      </c>
      <c r="R28" s="67">
        <f t="shared" si="7"/>
        <v>28645.833333333358</v>
      </c>
    </row>
    <row r="29" spans="6:18" x14ac:dyDescent="0.25">
      <c r="F29" s="67">
        <f t="shared" si="13"/>
        <v>23</v>
      </c>
      <c r="G29" s="67">
        <f t="shared" si="12"/>
        <v>1</v>
      </c>
      <c r="H29" s="67">
        <f t="shared" si="0"/>
        <v>2020</v>
      </c>
      <c r="I29" s="122">
        <f t="shared" si="1"/>
        <v>43861</v>
      </c>
      <c r="J29" s="67">
        <f t="shared" si="8"/>
        <v>2291666.666666666</v>
      </c>
      <c r="K29" s="67">
        <f t="shared" si="2"/>
        <v>0</v>
      </c>
      <c r="L29" s="67">
        <f t="shared" si="3"/>
        <v>-152777.77777777772</v>
      </c>
      <c r="M29" s="67">
        <f t="shared" si="11"/>
        <v>2138888.8888888885</v>
      </c>
      <c r="N29" s="106"/>
      <c r="O29" s="67">
        <f t="shared" si="9"/>
        <v>28645.833333333358</v>
      </c>
      <c r="P29" s="67">
        <f t="shared" si="6"/>
        <v>26736.111111111106</v>
      </c>
      <c r="Q29" s="67">
        <f t="shared" si="10"/>
        <v>-28645.833333333325</v>
      </c>
      <c r="R29" s="67">
        <f t="shared" si="7"/>
        <v>26736.111111111142</v>
      </c>
    </row>
    <row r="30" spans="6:18" x14ac:dyDescent="0.25">
      <c r="F30" s="67">
        <f t="shared" si="13"/>
        <v>24</v>
      </c>
      <c r="G30" s="67">
        <f t="shared" si="12"/>
        <v>2</v>
      </c>
      <c r="H30" s="67">
        <f t="shared" si="0"/>
        <v>2020</v>
      </c>
      <c r="I30" s="122">
        <f t="shared" si="1"/>
        <v>43890</v>
      </c>
      <c r="J30" s="67">
        <f t="shared" si="8"/>
        <v>2138888.8888888885</v>
      </c>
      <c r="K30" s="67">
        <f t="shared" si="2"/>
        <v>0</v>
      </c>
      <c r="L30" s="67">
        <f t="shared" si="3"/>
        <v>-152777.77777777775</v>
      </c>
      <c r="M30" s="67">
        <f t="shared" si="11"/>
        <v>1986111.1111111108</v>
      </c>
      <c r="N30" s="106"/>
      <c r="O30" s="67">
        <f t="shared" si="9"/>
        <v>26736.111111111142</v>
      </c>
      <c r="P30" s="67">
        <f t="shared" si="6"/>
        <v>24826.388888888883</v>
      </c>
      <c r="Q30" s="67">
        <f t="shared" si="10"/>
        <v>-26736.111111111106</v>
      </c>
      <c r="R30" s="67">
        <f t="shared" si="7"/>
        <v>24826.388888888923</v>
      </c>
    </row>
    <row r="31" spans="6:18" x14ac:dyDescent="0.25">
      <c r="F31" s="67">
        <f t="shared" si="13"/>
        <v>25</v>
      </c>
      <c r="G31" s="67">
        <f t="shared" si="12"/>
        <v>3</v>
      </c>
      <c r="H31" s="67">
        <f t="shared" si="0"/>
        <v>2020</v>
      </c>
      <c r="I31" s="122">
        <f t="shared" si="1"/>
        <v>43921</v>
      </c>
      <c r="J31" s="67">
        <f t="shared" si="8"/>
        <v>1986111.1111111108</v>
      </c>
      <c r="K31" s="67">
        <f t="shared" si="2"/>
        <v>0</v>
      </c>
      <c r="L31" s="67">
        <f t="shared" si="3"/>
        <v>-152777.77777777775</v>
      </c>
      <c r="M31" s="67">
        <f t="shared" si="11"/>
        <v>1833333.333333333</v>
      </c>
      <c r="N31" s="106"/>
      <c r="O31" s="67">
        <f t="shared" si="9"/>
        <v>24826.388888888923</v>
      </c>
      <c r="P31" s="67">
        <f t="shared" si="6"/>
        <v>22916.666666666661</v>
      </c>
      <c r="Q31" s="67">
        <f t="shared" si="10"/>
        <v>-24826.388888888883</v>
      </c>
      <c r="R31" s="67">
        <f t="shared" si="7"/>
        <v>22916.666666666701</v>
      </c>
    </row>
    <row r="32" spans="6:18" x14ac:dyDescent="0.25">
      <c r="F32" s="67">
        <f t="shared" si="13"/>
        <v>26</v>
      </c>
      <c r="G32" s="67">
        <f t="shared" si="12"/>
        <v>4</v>
      </c>
      <c r="H32" s="67">
        <f t="shared" si="0"/>
        <v>2020</v>
      </c>
      <c r="I32" s="122">
        <f t="shared" si="1"/>
        <v>43951</v>
      </c>
      <c r="J32" s="67">
        <f t="shared" si="8"/>
        <v>1833333.333333333</v>
      </c>
      <c r="K32" s="67">
        <f t="shared" si="2"/>
        <v>0</v>
      </c>
      <c r="L32" s="67">
        <f t="shared" si="3"/>
        <v>-152777.77777777775</v>
      </c>
      <c r="M32" s="67">
        <f t="shared" si="11"/>
        <v>1680555.5555555553</v>
      </c>
      <c r="N32" s="106"/>
      <c r="O32" s="67">
        <f t="shared" si="9"/>
        <v>22916.666666666701</v>
      </c>
      <c r="P32" s="67">
        <f t="shared" si="6"/>
        <v>21006.944444444438</v>
      </c>
      <c r="Q32" s="67">
        <f t="shared" si="10"/>
        <v>-22916.666666666661</v>
      </c>
      <c r="R32" s="67">
        <f t="shared" si="7"/>
        <v>21006.944444444478</v>
      </c>
    </row>
    <row r="33" spans="6:18" x14ac:dyDescent="0.25">
      <c r="F33" s="67">
        <f t="shared" si="13"/>
        <v>27</v>
      </c>
      <c r="G33" s="67">
        <f t="shared" si="12"/>
        <v>5</v>
      </c>
      <c r="H33" s="67">
        <f t="shared" si="0"/>
        <v>2020</v>
      </c>
      <c r="I33" s="122">
        <f t="shared" si="1"/>
        <v>43982</v>
      </c>
      <c r="J33" s="67">
        <f t="shared" si="8"/>
        <v>1680555.5555555553</v>
      </c>
      <c r="K33" s="67">
        <f t="shared" si="2"/>
        <v>0</v>
      </c>
      <c r="L33" s="67">
        <f t="shared" si="3"/>
        <v>-152777.77777777775</v>
      </c>
      <c r="M33" s="67">
        <f t="shared" si="11"/>
        <v>1527777.7777777775</v>
      </c>
      <c r="N33" s="106"/>
      <c r="O33" s="67">
        <f t="shared" si="9"/>
        <v>21006.944444444478</v>
      </c>
      <c r="P33" s="67">
        <f t="shared" si="6"/>
        <v>19097.222222222219</v>
      </c>
      <c r="Q33" s="67">
        <f t="shared" si="10"/>
        <v>-21006.944444444438</v>
      </c>
      <c r="R33" s="67">
        <f t="shared" si="7"/>
        <v>19097.222222222263</v>
      </c>
    </row>
    <row r="34" spans="6:18" x14ac:dyDescent="0.25">
      <c r="F34" s="67">
        <f t="shared" si="13"/>
        <v>28</v>
      </c>
      <c r="G34" s="67">
        <f t="shared" si="12"/>
        <v>6</v>
      </c>
      <c r="H34" s="67">
        <f t="shared" si="0"/>
        <v>2020</v>
      </c>
      <c r="I34" s="122">
        <f t="shared" si="1"/>
        <v>44012</v>
      </c>
      <c r="J34" s="67">
        <f t="shared" si="8"/>
        <v>1527777.7777777775</v>
      </c>
      <c r="K34" s="67">
        <f t="shared" si="2"/>
        <v>0</v>
      </c>
      <c r="L34" s="67">
        <f t="shared" si="3"/>
        <v>-152777.77777777775</v>
      </c>
      <c r="M34" s="67">
        <f t="shared" si="11"/>
        <v>1374999.9999999998</v>
      </c>
      <c r="N34" s="106"/>
      <c r="O34" s="67">
        <f t="shared" si="9"/>
        <v>19097.222222222263</v>
      </c>
      <c r="P34" s="67">
        <f t="shared" si="6"/>
        <v>17187.499999999996</v>
      </c>
      <c r="Q34" s="67">
        <f t="shared" si="10"/>
        <v>-19097.222222222219</v>
      </c>
      <c r="R34" s="67">
        <f t="shared" si="7"/>
        <v>17187.500000000044</v>
      </c>
    </row>
    <row r="35" spans="6:18" x14ac:dyDescent="0.25">
      <c r="F35" s="67">
        <f t="shared" si="13"/>
        <v>29</v>
      </c>
      <c r="G35" s="67">
        <f t="shared" si="12"/>
        <v>7</v>
      </c>
      <c r="H35" s="67">
        <f t="shared" si="0"/>
        <v>2020</v>
      </c>
      <c r="I35" s="122">
        <f t="shared" si="1"/>
        <v>44043</v>
      </c>
      <c r="J35" s="67">
        <f t="shared" si="8"/>
        <v>1374999.9999999998</v>
      </c>
      <c r="K35" s="67">
        <f t="shared" si="2"/>
        <v>0</v>
      </c>
      <c r="L35" s="67">
        <f t="shared" si="3"/>
        <v>-152777.77777777775</v>
      </c>
      <c r="M35" s="67">
        <f t="shared" si="11"/>
        <v>1222222.222222222</v>
      </c>
      <c r="N35" s="106"/>
      <c r="O35" s="67">
        <f t="shared" si="9"/>
        <v>17187.500000000044</v>
      </c>
      <c r="P35" s="67">
        <f t="shared" si="6"/>
        <v>15277.777777777774</v>
      </c>
      <c r="Q35" s="67">
        <f t="shared" si="10"/>
        <v>-17187.499999999996</v>
      </c>
      <c r="R35" s="67">
        <f t="shared" si="7"/>
        <v>15277.777777777821</v>
      </c>
    </row>
    <row r="36" spans="6:18" x14ac:dyDescent="0.25">
      <c r="F36" s="67">
        <f t="shared" si="13"/>
        <v>30</v>
      </c>
      <c r="G36" s="67">
        <f t="shared" si="12"/>
        <v>8</v>
      </c>
      <c r="H36" s="67">
        <f t="shared" si="0"/>
        <v>2020</v>
      </c>
      <c r="I36" s="122">
        <f t="shared" si="1"/>
        <v>44074</v>
      </c>
      <c r="J36" s="67">
        <f t="shared" si="8"/>
        <v>1222222.222222222</v>
      </c>
      <c r="K36" s="67">
        <f t="shared" si="2"/>
        <v>0</v>
      </c>
      <c r="L36" s="67">
        <f t="shared" si="3"/>
        <v>-152777.77777777775</v>
      </c>
      <c r="M36" s="67">
        <f t="shared" si="11"/>
        <v>1069444.4444444443</v>
      </c>
      <c r="N36" s="106"/>
      <c r="O36" s="67">
        <f t="shared" si="9"/>
        <v>15277.777777777821</v>
      </c>
      <c r="P36" s="67">
        <f t="shared" si="6"/>
        <v>13368.055555555553</v>
      </c>
      <c r="Q36" s="67">
        <f t="shared" si="10"/>
        <v>-15277.777777777774</v>
      </c>
      <c r="R36" s="67">
        <f t="shared" si="7"/>
        <v>13368.055555555598</v>
      </c>
    </row>
    <row r="37" spans="6:18" x14ac:dyDescent="0.25">
      <c r="F37" s="67">
        <f t="shared" si="13"/>
        <v>31</v>
      </c>
      <c r="G37" s="67">
        <f t="shared" si="12"/>
        <v>9</v>
      </c>
      <c r="H37" s="67">
        <f t="shared" si="0"/>
        <v>2020</v>
      </c>
      <c r="I37" s="122">
        <f t="shared" si="1"/>
        <v>44104</v>
      </c>
      <c r="J37" s="67">
        <f t="shared" si="8"/>
        <v>1069444.4444444443</v>
      </c>
      <c r="K37" s="67">
        <f t="shared" si="2"/>
        <v>0</v>
      </c>
      <c r="L37" s="67">
        <f t="shared" si="3"/>
        <v>-152777.77777777775</v>
      </c>
      <c r="M37" s="67">
        <f t="shared" si="11"/>
        <v>916666.66666666651</v>
      </c>
      <c r="N37" s="106"/>
      <c r="O37" s="67">
        <f t="shared" si="9"/>
        <v>13368.055555555598</v>
      </c>
      <c r="P37" s="67">
        <f t="shared" si="6"/>
        <v>11458.33333333333</v>
      </c>
      <c r="Q37" s="67">
        <f t="shared" si="10"/>
        <v>-13368.055555555553</v>
      </c>
      <c r="R37" s="67">
        <f t="shared" si="7"/>
        <v>11458.333333333374</v>
      </c>
    </row>
    <row r="38" spans="6:18" x14ac:dyDescent="0.25">
      <c r="F38" s="67">
        <f t="shared" si="13"/>
        <v>32</v>
      </c>
      <c r="G38" s="67">
        <f t="shared" si="12"/>
        <v>10</v>
      </c>
      <c r="H38" s="67">
        <f t="shared" si="0"/>
        <v>2020</v>
      </c>
      <c r="I38" s="122">
        <f t="shared" ref="I38:I66" si="14">EOMONTH(ДатаНачала,F38)</f>
        <v>44135</v>
      </c>
      <c r="J38" s="67">
        <f t="shared" si="8"/>
        <v>916666.66666666651</v>
      </c>
      <c r="K38" s="67">
        <f t="shared" ref="K38:K66" si="15">IF(F38=$C$6,$C$8,0)</f>
        <v>0</v>
      </c>
      <c r="L38" s="67">
        <f t="shared" ref="L38:L66" si="16">-IF(IF(AND(F38&gt;$C$6,F38&lt;=($C$6+$C$11)),J38/($C$11+$C$6-$F37),0)&lt;0,0,IF(AND(F38&gt;$C$6,F38&lt;=($C$6+$C$11)),J38/($C$11+$C$6-$F37),0))</f>
        <v>-152777.77777777775</v>
      </c>
      <c r="M38" s="67">
        <f t="shared" si="11"/>
        <v>763888.88888888876</v>
      </c>
      <c r="N38" s="106"/>
      <c r="O38" s="67">
        <f t="shared" si="9"/>
        <v>11458.333333333374</v>
      </c>
      <c r="P38" s="67">
        <f t="shared" si="6"/>
        <v>9548.6111111111095</v>
      </c>
      <c r="Q38" s="67">
        <f t="shared" si="10"/>
        <v>-11458.33333333333</v>
      </c>
      <c r="R38" s="67">
        <f t="shared" si="7"/>
        <v>9548.6111111111513</v>
      </c>
    </row>
    <row r="39" spans="6:18" x14ac:dyDescent="0.25">
      <c r="F39" s="67">
        <f t="shared" si="13"/>
        <v>33</v>
      </c>
      <c r="G39" s="67">
        <f t="shared" si="12"/>
        <v>11</v>
      </c>
      <c r="H39" s="67">
        <f t="shared" si="0"/>
        <v>2020</v>
      </c>
      <c r="I39" s="122">
        <f t="shared" si="14"/>
        <v>44165</v>
      </c>
      <c r="J39" s="67">
        <f t="shared" si="8"/>
        <v>763888.88888888876</v>
      </c>
      <c r="K39" s="67">
        <f t="shared" si="15"/>
        <v>0</v>
      </c>
      <c r="L39" s="67">
        <f t="shared" si="16"/>
        <v>-152777.77777777775</v>
      </c>
      <c r="M39" s="67">
        <f t="shared" si="11"/>
        <v>611111.11111111101</v>
      </c>
      <c r="N39" s="106"/>
      <c r="O39" s="67">
        <f t="shared" si="9"/>
        <v>9548.6111111111513</v>
      </c>
      <c r="P39" s="67">
        <f t="shared" si="6"/>
        <v>7638.8888888888869</v>
      </c>
      <c r="Q39" s="67">
        <f t="shared" si="10"/>
        <v>-9548.6111111111095</v>
      </c>
      <c r="R39" s="67">
        <f t="shared" si="7"/>
        <v>7638.8888888889269</v>
      </c>
    </row>
    <row r="40" spans="6:18" x14ac:dyDescent="0.25">
      <c r="F40" s="67">
        <f t="shared" si="13"/>
        <v>34</v>
      </c>
      <c r="G40" s="67">
        <f t="shared" si="12"/>
        <v>12</v>
      </c>
      <c r="H40" s="67">
        <f t="shared" si="0"/>
        <v>2020</v>
      </c>
      <c r="I40" s="122">
        <f t="shared" si="14"/>
        <v>44196</v>
      </c>
      <c r="J40" s="67">
        <f t="shared" si="8"/>
        <v>611111.11111111101</v>
      </c>
      <c r="K40" s="67">
        <f t="shared" si="15"/>
        <v>0</v>
      </c>
      <c r="L40" s="67">
        <f t="shared" si="16"/>
        <v>-152777.77777777775</v>
      </c>
      <c r="M40" s="67">
        <f t="shared" si="11"/>
        <v>458333.33333333326</v>
      </c>
      <c r="N40" s="106"/>
      <c r="O40" s="67">
        <f t="shared" si="9"/>
        <v>7638.8888888889269</v>
      </c>
      <c r="P40" s="67">
        <f t="shared" si="6"/>
        <v>5729.1666666666652</v>
      </c>
      <c r="Q40" s="67">
        <f t="shared" si="10"/>
        <v>-7638.8888888888869</v>
      </c>
      <c r="R40" s="67">
        <f t="shared" si="7"/>
        <v>5729.1666666667043</v>
      </c>
    </row>
    <row r="41" spans="6:18" x14ac:dyDescent="0.25">
      <c r="F41" s="67">
        <f t="shared" si="13"/>
        <v>35</v>
      </c>
      <c r="G41" s="67">
        <f t="shared" si="12"/>
        <v>1</v>
      </c>
      <c r="H41" s="67">
        <f t="shared" si="0"/>
        <v>2021</v>
      </c>
      <c r="I41" s="122">
        <f t="shared" si="14"/>
        <v>44227</v>
      </c>
      <c r="J41" s="67">
        <f t="shared" si="8"/>
        <v>458333.33333333326</v>
      </c>
      <c r="K41" s="67">
        <f t="shared" si="15"/>
        <v>0</v>
      </c>
      <c r="L41" s="67">
        <f t="shared" si="16"/>
        <v>-152777.77777777775</v>
      </c>
      <c r="M41" s="67">
        <f t="shared" si="11"/>
        <v>305555.5555555555</v>
      </c>
      <c r="N41" s="106"/>
      <c r="O41" s="67">
        <f t="shared" si="9"/>
        <v>5729.1666666667043</v>
      </c>
      <c r="P41" s="67">
        <f t="shared" si="6"/>
        <v>3819.4444444444434</v>
      </c>
      <c r="Q41" s="67">
        <f t="shared" si="10"/>
        <v>-5729.1666666666652</v>
      </c>
      <c r="R41" s="67">
        <f t="shared" si="7"/>
        <v>3819.4444444444825</v>
      </c>
    </row>
    <row r="42" spans="6:18" x14ac:dyDescent="0.25">
      <c r="F42" s="67">
        <f t="shared" si="13"/>
        <v>36</v>
      </c>
      <c r="G42" s="67">
        <f t="shared" si="12"/>
        <v>2</v>
      </c>
      <c r="H42" s="67">
        <f t="shared" si="0"/>
        <v>2021</v>
      </c>
      <c r="I42" s="122">
        <f t="shared" si="14"/>
        <v>44255</v>
      </c>
      <c r="J42" s="67">
        <f t="shared" si="8"/>
        <v>305555.5555555555</v>
      </c>
      <c r="K42" s="67">
        <f t="shared" si="15"/>
        <v>0</v>
      </c>
      <c r="L42" s="67">
        <f t="shared" si="16"/>
        <v>-152777.77777777775</v>
      </c>
      <c r="M42" s="67">
        <f t="shared" si="11"/>
        <v>152777.77777777775</v>
      </c>
      <c r="N42" s="106"/>
      <c r="O42" s="67">
        <f t="shared" si="9"/>
        <v>3819.4444444444825</v>
      </c>
      <c r="P42" s="67">
        <f t="shared" si="6"/>
        <v>1909.7222222222217</v>
      </c>
      <c r="Q42" s="67">
        <f t="shared" si="10"/>
        <v>-3819.4444444444434</v>
      </c>
      <c r="R42" s="67">
        <f t="shared" si="7"/>
        <v>1909.7222222222608</v>
      </c>
    </row>
    <row r="43" spans="6:18" x14ac:dyDescent="0.25">
      <c r="F43" s="67">
        <f t="shared" si="13"/>
        <v>37</v>
      </c>
      <c r="G43" s="67">
        <f t="shared" si="12"/>
        <v>3</v>
      </c>
      <c r="H43" s="67">
        <f t="shared" si="0"/>
        <v>2021</v>
      </c>
      <c r="I43" s="122">
        <f t="shared" si="14"/>
        <v>44286</v>
      </c>
      <c r="J43" s="67">
        <f t="shared" si="8"/>
        <v>152777.77777777775</v>
      </c>
      <c r="K43" s="67">
        <f t="shared" si="15"/>
        <v>0</v>
      </c>
      <c r="L43" s="67">
        <f t="shared" si="16"/>
        <v>-152777.77777777775</v>
      </c>
      <c r="M43" s="67">
        <f t="shared" si="11"/>
        <v>0</v>
      </c>
      <c r="N43" s="106"/>
      <c r="O43" s="67">
        <f t="shared" si="9"/>
        <v>1909.7222222222608</v>
      </c>
      <c r="P43" s="67">
        <f t="shared" si="6"/>
        <v>0</v>
      </c>
      <c r="Q43" s="67">
        <f t="shared" si="10"/>
        <v>-1909.7222222222217</v>
      </c>
      <c r="R43" s="67">
        <f t="shared" si="7"/>
        <v>3.9108272176235914E-11</v>
      </c>
    </row>
    <row r="44" spans="6:18" x14ac:dyDescent="0.25">
      <c r="F44" s="67">
        <f t="shared" si="13"/>
        <v>38</v>
      </c>
      <c r="G44" s="67">
        <f t="shared" si="12"/>
        <v>4</v>
      </c>
      <c r="H44" s="67">
        <f t="shared" si="0"/>
        <v>2021</v>
      </c>
      <c r="I44" s="122">
        <f t="shared" si="14"/>
        <v>44316</v>
      </c>
      <c r="J44" s="67">
        <f t="shared" si="8"/>
        <v>0</v>
      </c>
      <c r="K44" s="67">
        <f t="shared" si="15"/>
        <v>0</v>
      </c>
      <c r="L44" s="67">
        <f t="shared" si="16"/>
        <v>0</v>
      </c>
      <c r="M44" s="67">
        <f t="shared" si="11"/>
        <v>0</v>
      </c>
      <c r="N44" s="106"/>
      <c r="O44" s="67">
        <f t="shared" si="9"/>
        <v>3.9108272176235914E-11</v>
      </c>
      <c r="P44" s="67">
        <f t="shared" si="6"/>
        <v>0</v>
      </c>
      <c r="Q44" s="67">
        <f t="shared" si="10"/>
        <v>0</v>
      </c>
      <c r="R44" s="67">
        <f t="shared" si="7"/>
        <v>3.9108272176235914E-11</v>
      </c>
    </row>
    <row r="45" spans="6:18" x14ac:dyDescent="0.25">
      <c r="F45" s="67">
        <f t="shared" si="13"/>
        <v>39</v>
      </c>
      <c r="G45" s="67">
        <f t="shared" si="12"/>
        <v>5</v>
      </c>
      <c r="H45" s="67">
        <f t="shared" si="0"/>
        <v>2021</v>
      </c>
      <c r="I45" s="122">
        <f t="shared" si="14"/>
        <v>44347</v>
      </c>
      <c r="J45" s="67">
        <f t="shared" si="8"/>
        <v>0</v>
      </c>
      <c r="K45" s="67">
        <f t="shared" si="15"/>
        <v>0</v>
      </c>
      <c r="L45" s="67">
        <f t="shared" si="16"/>
        <v>0</v>
      </c>
      <c r="M45" s="67">
        <f t="shared" si="11"/>
        <v>0</v>
      </c>
      <c r="N45" s="106"/>
      <c r="O45" s="67">
        <f t="shared" si="9"/>
        <v>3.9108272176235914E-11</v>
      </c>
      <c r="P45" s="67">
        <f t="shared" si="6"/>
        <v>0</v>
      </c>
      <c r="Q45" s="67">
        <f t="shared" si="10"/>
        <v>0</v>
      </c>
      <c r="R45" s="67">
        <f t="shared" si="7"/>
        <v>3.9108272176235914E-11</v>
      </c>
    </row>
    <row r="46" spans="6:18" x14ac:dyDescent="0.25">
      <c r="F46" s="67">
        <f t="shared" si="13"/>
        <v>40</v>
      </c>
      <c r="G46" s="67">
        <f t="shared" si="12"/>
        <v>6</v>
      </c>
      <c r="H46" s="67">
        <f t="shared" si="0"/>
        <v>2021</v>
      </c>
      <c r="I46" s="122">
        <f t="shared" si="14"/>
        <v>44377</v>
      </c>
      <c r="J46" s="67">
        <f t="shared" si="8"/>
        <v>0</v>
      </c>
      <c r="K46" s="67">
        <f t="shared" si="15"/>
        <v>0</v>
      </c>
      <c r="L46" s="67">
        <f t="shared" si="16"/>
        <v>0</v>
      </c>
      <c r="M46" s="67">
        <f t="shared" si="11"/>
        <v>0</v>
      </c>
      <c r="N46" s="106"/>
      <c r="O46" s="67">
        <f t="shared" si="9"/>
        <v>3.9108272176235914E-11</v>
      </c>
      <c r="P46" s="67">
        <f t="shared" si="6"/>
        <v>0</v>
      </c>
      <c r="Q46" s="67">
        <f t="shared" si="10"/>
        <v>0</v>
      </c>
      <c r="R46" s="67">
        <f t="shared" si="7"/>
        <v>3.9108272176235914E-11</v>
      </c>
    </row>
    <row r="47" spans="6:18" x14ac:dyDescent="0.25">
      <c r="F47" s="67">
        <f t="shared" si="13"/>
        <v>41</v>
      </c>
      <c r="G47" s="67">
        <f t="shared" si="12"/>
        <v>7</v>
      </c>
      <c r="H47" s="67">
        <f t="shared" si="0"/>
        <v>2021</v>
      </c>
      <c r="I47" s="122">
        <f t="shared" si="14"/>
        <v>44408</v>
      </c>
      <c r="J47" s="67">
        <f t="shared" si="8"/>
        <v>0</v>
      </c>
      <c r="K47" s="67">
        <f t="shared" si="15"/>
        <v>0</v>
      </c>
      <c r="L47" s="67">
        <f t="shared" si="16"/>
        <v>0</v>
      </c>
      <c r="M47" s="67">
        <f t="shared" si="11"/>
        <v>0</v>
      </c>
      <c r="N47" s="106"/>
      <c r="O47" s="67">
        <f t="shared" si="9"/>
        <v>3.9108272176235914E-11</v>
      </c>
      <c r="P47" s="67">
        <f t="shared" si="6"/>
        <v>0</v>
      </c>
      <c r="Q47" s="67">
        <f t="shared" si="10"/>
        <v>0</v>
      </c>
      <c r="R47" s="67">
        <f t="shared" si="7"/>
        <v>3.9108272176235914E-11</v>
      </c>
    </row>
    <row r="48" spans="6:18" x14ac:dyDescent="0.25">
      <c r="F48" s="67">
        <f t="shared" si="13"/>
        <v>42</v>
      </c>
      <c r="G48" s="67">
        <f t="shared" si="12"/>
        <v>8</v>
      </c>
      <c r="H48" s="67">
        <f t="shared" si="0"/>
        <v>2021</v>
      </c>
      <c r="I48" s="122">
        <f t="shared" si="14"/>
        <v>44439</v>
      </c>
      <c r="J48" s="67">
        <f t="shared" si="8"/>
        <v>0</v>
      </c>
      <c r="K48" s="67">
        <f t="shared" si="15"/>
        <v>0</v>
      </c>
      <c r="L48" s="67">
        <f t="shared" si="16"/>
        <v>0</v>
      </c>
      <c r="M48" s="67">
        <f t="shared" si="11"/>
        <v>0</v>
      </c>
      <c r="N48" s="106"/>
      <c r="O48" s="67">
        <f t="shared" si="9"/>
        <v>3.9108272176235914E-11</v>
      </c>
      <c r="P48" s="67">
        <f t="shared" si="6"/>
        <v>0</v>
      </c>
      <c r="Q48" s="67">
        <f t="shared" si="10"/>
        <v>0</v>
      </c>
      <c r="R48" s="67">
        <f t="shared" si="7"/>
        <v>3.9108272176235914E-11</v>
      </c>
    </row>
    <row r="49" spans="6:18" x14ac:dyDescent="0.25">
      <c r="F49" s="67">
        <f t="shared" si="13"/>
        <v>43</v>
      </c>
      <c r="G49" s="67">
        <f t="shared" si="12"/>
        <v>9</v>
      </c>
      <c r="H49" s="67">
        <f t="shared" si="0"/>
        <v>2021</v>
      </c>
      <c r="I49" s="122">
        <f t="shared" si="14"/>
        <v>44469</v>
      </c>
      <c r="J49" s="67">
        <f t="shared" si="8"/>
        <v>0</v>
      </c>
      <c r="K49" s="67">
        <f t="shared" si="15"/>
        <v>0</v>
      </c>
      <c r="L49" s="67">
        <f t="shared" si="16"/>
        <v>0</v>
      </c>
      <c r="M49" s="67">
        <f t="shared" si="11"/>
        <v>0</v>
      </c>
      <c r="N49" s="106"/>
      <c r="O49" s="67">
        <f t="shared" si="9"/>
        <v>3.9108272176235914E-11</v>
      </c>
      <c r="P49" s="67">
        <f t="shared" si="6"/>
        <v>0</v>
      </c>
      <c r="Q49" s="67">
        <f t="shared" si="10"/>
        <v>0</v>
      </c>
      <c r="R49" s="67">
        <f t="shared" si="7"/>
        <v>3.9108272176235914E-11</v>
      </c>
    </row>
    <row r="50" spans="6:18" x14ac:dyDescent="0.25">
      <c r="F50" s="67">
        <f t="shared" si="13"/>
        <v>44</v>
      </c>
      <c r="G50" s="67">
        <f t="shared" si="12"/>
        <v>10</v>
      </c>
      <c r="H50" s="67">
        <f t="shared" si="0"/>
        <v>2021</v>
      </c>
      <c r="I50" s="122">
        <f t="shared" si="14"/>
        <v>44500</v>
      </c>
      <c r="J50" s="67">
        <f t="shared" si="8"/>
        <v>0</v>
      </c>
      <c r="K50" s="67">
        <f t="shared" si="15"/>
        <v>0</v>
      </c>
      <c r="L50" s="67">
        <f t="shared" si="16"/>
        <v>0</v>
      </c>
      <c r="M50" s="67">
        <f t="shared" si="11"/>
        <v>0</v>
      </c>
      <c r="N50" s="106"/>
      <c r="O50" s="67">
        <f t="shared" si="9"/>
        <v>3.9108272176235914E-11</v>
      </c>
      <c r="P50" s="67">
        <f t="shared" si="6"/>
        <v>0</v>
      </c>
      <c r="Q50" s="67">
        <f t="shared" si="10"/>
        <v>0</v>
      </c>
      <c r="R50" s="67">
        <f t="shared" si="7"/>
        <v>3.9108272176235914E-11</v>
      </c>
    </row>
    <row r="51" spans="6:18" x14ac:dyDescent="0.25">
      <c r="F51" s="67">
        <f t="shared" si="13"/>
        <v>45</v>
      </c>
      <c r="G51" s="67">
        <f t="shared" si="12"/>
        <v>11</v>
      </c>
      <c r="H51" s="67">
        <f t="shared" si="0"/>
        <v>2021</v>
      </c>
      <c r="I51" s="122">
        <f t="shared" si="14"/>
        <v>44530</v>
      </c>
      <c r="J51" s="67">
        <f t="shared" si="8"/>
        <v>0</v>
      </c>
      <c r="K51" s="67">
        <f t="shared" si="15"/>
        <v>0</v>
      </c>
      <c r="L51" s="67">
        <f t="shared" si="16"/>
        <v>0</v>
      </c>
      <c r="M51" s="67">
        <f t="shared" si="11"/>
        <v>0</v>
      </c>
      <c r="N51" s="106"/>
      <c r="O51" s="67">
        <f t="shared" si="9"/>
        <v>3.9108272176235914E-11</v>
      </c>
      <c r="P51" s="67">
        <f t="shared" si="6"/>
        <v>0</v>
      </c>
      <c r="Q51" s="67">
        <f t="shared" si="10"/>
        <v>0</v>
      </c>
      <c r="R51" s="67">
        <f t="shared" si="7"/>
        <v>3.9108272176235914E-11</v>
      </c>
    </row>
    <row r="52" spans="6:18" x14ac:dyDescent="0.25">
      <c r="F52" s="67">
        <f t="shared" si="13"/>
        <v>46</v>
      </c>
      <c r="G52" s="67">
        <f t="shared" si="12"/>
        <v>12</v>
      </c>
      <c r="H52" s="67">
        <f t="shared" si="0"/>
        <v>2021</v>
      </c>
      <c r="I52" s="122">
        <f t="shared" si="14"/>
        <v>44561</v>
      </c>
      <c r="J52" s="67">
        <f t="shared" si="8"/>
        <v>0</v>
      </c>
      <c r="K52" s="67">
        <f t="shared" si="15"/>
        <v>0</v>
      </c>
      <c r="L52" s="67">
        <f t="shared" si="16"/>
        <v>0</v>
      </c>
      <c r="M52" s="67">
        <f t="shared" si="11"/>
        <v>0</v>
      </c>
      <c r="N52" s="106"/>
      <c r="O52" s="67">
        <f t="shared" si="9"/>
        <v>3.9108272176235914E-11</v>
      </c>
      <c r="P52" s="67">
        <f t="shared" si="6"/>
        <v>0</v>
      </c>
      <c r="Q52" s="67">
        <f t="shared" si="10"/>
        <v>0</v>
      </c>
      <c r="R52" s="67">
        <f t="shared" si="7"/>
        <v>3.9108272176235914E-11</v>
      </c>
    </row>
    <row r="53" spans="6:18" x14ac:dyDescent="0.25">
      <c r="F53" s="67">
        <f t="shared" si="13"/>
        <v>47</v>
      </c>
      <c r="G53" s="67">
        <f t="shared" si="12"/>
        <v>1</v>
      </c>
      <c r="H53" s="67">
        <f t="shared" si="0"/>
        <v>2022</v>
      </c>
      <c r="I53" s="122">
        <f t="shared" si="14"/>
        <v>44592</v>
      </c>
      <c r="J53" s="67">
        <f t="shared" si="8"/>
        <v>0</v>
      </c>
      <c r="K53" s="67">
        <f t="shared" si="15"/>
        <v>0</v>
      </c>
      <c r="L53" s="67">
        <f t="shared" si="16"/>
        <v>0</v>
      </c>
      <c r="M53" s="67">
        <f t="shared" si="11"/>
        <v>0</v>
      </c>
      <c r="N53" s="106"/>
      <c r="O53" s="67">
        <f t="shared" si="9"/>
        <v>3.9108272176235914E-11</v>
      </c>
      <c r="P53" s="67">
        <f t="shared" si="6"/>
        <v>0</v>
      </c>
      <c r="Q53" s="67">
        <f t="shared" si="10"/>
        <v>0</v>
      </c>
      <c r="R53" s="67">
        <f t="shared" si="7"/>
        <v>3.9108272176235914E-11</v>
      </c>
    </row>
    <row r="54" spans="6:18" x14ac:dyDescent="0.25">
      <c r="F54" s="67">
        <f t="shared" si="13"/>
        <v>48</v>
      </c>
      <c r="G54" s="67">
        <f t="shared" si="12"/>
        <v>2</v>
      </c>
      <c r="H54" s="67">
        <f t="shared" si="0"/>
        <v>2022</v>
      </c>
      <c r="I54" s="122">
        <f t="shared" si="14"/>
        <v>44620</v>
      </c>
      <c r="J54" s="67">
        <f t="shared" si="8"/>
        <v>0</v>
      </c>
      <c r="K54" s="67">
        <f t="shared" si="15"/>
        <v>0</v>
      </c>
      <c r="L54" s="67">
        <f t="shared" si="16"/>
        <v>0</v>
      </c>
      <c r="M54" s="67">
        <f t="shared" si="11"/>
        <v>0</v>
      </c>
      <c r="N54" s="106"/>
      <c r="O54" s="67">
        <f t="shared" si="9"/>
        <v>3.9108272176235914E-11</v>
      </c>
      <c r="P54" s="67">
        <f t="shared" si="6"/>
        <v>0</v>
      </c>
      <c r="Q54" s="67">
        <f t="shared" si="10"/>
        <v>0</v>
      </c>
      <c r="R54" s="67">
        <f t="shared" si="7"/>
        <v>3.9108272176235914E-11</v>
      </c>
    </row>
    <row r="55" spans="6:18" x14ac:dyDescent="0.25">
      <c r="F55" s="67">
        <f t="shared" si="13"/>
        <v>49</v>
      </c>
      <c r="G55" s="67">
        <f t="shared" si="12"/>
        <v>3</v>
      </c>
      <c r="H55" s="67">
        <f t="shared" si="0"/>
        <v>2022</v>
      </c>
      <c r="I55" s="122">
        <f t="shared" si="14"/>
        <v>44651</v>
      </c>
      <c r="J55" s="67">
        <f t="shared" si="8"/>
        <v>0</v>
      </c>
      <c r="K55" s="67">
        <f t="shared" si="15"/>
        <v>0</v>
      </c>
      <c r="L55" s="67">
        <f t="shared" si="16"/>
        <v>0</v>
      </c>
      <c r="M55" s="67">
        <f t="shared" si="11"/>
        <v>0</v>
      </c>
      <c r="N55" s="106"/>
      <c r="O55" s="67">
        <f t="shared" si="9"/>
        <v>3.9108272176235914E-11</v>
      </c>
      <c r="P55" s="67">
        <f t="shared" si="6"/>
        <v>0</v>
      </c>
      <c r="Q55" s="67">
        <f t="shared" si="10"/>
        <v>0</v>
      </c>
      <c r="R55" s="67">
        <f t="shared" si="7"/>
        <v>3.9108272176235914E-11</v>
      </c>
    </row>
    <row r="56" spans="6:18" x14ac:dyDescent="0.25">
      <c r="F56" s="67">
        <f t="shared" si="13"/>
        <v>50</v>
      </c>
      <c r="G56" s="67">
        <f t="shared" si="12"/>
        <v>4</v>
      </c>
      <c r="H56" s="67">
        <f t="shared" si="0"/>
        <v>2022</v>
      </c>
      <c r="I56" s="122">
        <f t="shared" si="14"/>
        <v>44681</v>
      </c>
      <c r="J56" s="67">
        <f t="shared" si="8"/>
        <v>0</v>
      </c>
      <c r="K56" s="67">
        <f t="shared" si="15"/>
        <v>0</v>
      </c>
      <c r="L56" s="67">
        <f t="shared" si="16"/>
        <v>0</v>
      </c>
      <c r="M56" s="67">
        <f t="shared" si="11"/>
        <v>0</v>
      </c>
      <c r="N56" s="106"/>
      <c r="O56" s="67">
        <f t="shared" si="9"/>
        <v>3.9108272176235914E-11</v>
      </c>
      <c r="P56" s="67">
        <f t="shared" si="6"/>
        <v>0</v>
      </c>
      <c r="Q56" s="67">
        <f t="shared" si="10"/>
        <v>0</v>
      </c>
      <c r="R56" s="67">
        <f t="shared" si="7"/>
        <v>3.9108272176235914E-11</v>
      </c>
    </row>
    <row r="57" spans="6:18" x14ac:dyDescent="0.25">
      <c r="F57" s="67">
        <f t="shared" si="13"/>
        <v>51</v>
      </c>
      <c r="G57" s="67">
        <f t="shared" si="12"/>
        <v>5</v>
      </c>
      <c r="H57" s="67">
        <f t="shared" si="0"/>
        <v>2022</v>
      </c>
      <c r="I57" s="122">
        <f t="shared" si="14"/>
        <v>44712</v>
      </c>
      <c r="J57" s="67">
        <f t="shared" si="8"/>
        <v>0</v>
      </c>
      <c r="K57" s="67">
        <f t="shared" si="15"/>
        <v>0</v>
      </c>
      <c r="L57" s="67">
        <f t="shared" si="16"/>
        <v>0</v>
      </c>
      <c r="M57" s="67">
        <f t="shared" si="11"/>
        <v>0</v>
      </c>
      <c r="N57" s="106"/>
      <c r="O57" s="67">
        <f t="shared" si="9"/>
        <v>3.9108272176235914E-11</v>
      </c>
      <c r="P57" s="67">
        <f t="shared" si="6"/>
        <v>0</v>
      </c>
      <c r="Q57" s="67">
        <f t="shared" si="10"/>
        <v>0</v>
      </c>
      <c r="R57" s="67">
        <f t="shared" si="7"/>
        <v>3.9108272176235914E-11</v>
      </c>
    </row>
    <row r="58" spans="6:18" x14ac:dyDescent="0.25">
      <c r="F58" s="67">
        <f t="shared" si="13"/>
        <v>52</v>
      </c>
      <c r="G58" s="67">
        <f t="shared" si="12"/>
        <v>6</v>
      </c>
      <c r="H58" s="67">
        <f t="shared" si="0"/>
        <v>2022</v>
      </c>
      <c r="I58" s="122">
        <f t="shared" si="14"/>
        <v>44742</v>
      </c>
      <c r="J58" s="67">
        <f t="shared" si="8"/>
        <v>0</v>
      </c>
      <c r="K58" s="67">
        <f t="shared" si="15"/>
        <v>0</v>
      </c>
      <c r="L58" s="67">
        <f t="shared" si="16"/>
        <v>0</v>
      </c>
      <c r="M58" s="67">
        <f t="shared" si="11"/>
        <v>0</v>
      </c>
      <c r="N58" s="106"/>
      <c r="O58" s="67">
        <f t="shared" si="9"/>
        <v>3.9108272176235914E-11</v>
      </c>
      <c r="P58" s="67">
        <f t="shared" si="6"/>
        <v>0</v>
      </c>
      <c r="Q58" s="67">
        <f t="shared" si="10"/>
        <v>0</v>
      </c>
      <c r="R58" s="67">
        <f t="shared" si="7"/>
        <v>3.9108272176235914E-11</v>
      </c>
    </row>
    <row r="59" spans="6:18" x14ac:dyDescent="0.25">
      <c r="F59" s="67">
        <f t="shared" si="13"/>
        <v>53</v>
      </c>
      <c r="G59" s="67">
        <f t="shared" si="12"/>
        <v>7</v>
      </c>
      <c r="H59" s="67">
        <f t="shared" si="0"/>
        <v>2022</v>
      </c>
      <c r="I59" s="122">
        <f t="shared" si="14"/>
        <v>44773</v>
      </c>
      <c r="J59" s="67">
        <f t="shared" si="8"/>
        <v>0</v>
      </c>
      <c r="K59" s="67">
        <f t="shared" si="15"/>
        <v>0</v>
      </c>
      <c r="L59" s="67">
        <f t="shared" si="16"/>
        <v>0</v>
      </c>
      <c r="M59" s="67">
        <f t="shared" si="11"/>
        <v>0</v>
      </c>
      <c r="N59" s="106"/>
      <c r="O59" s="67">
        <f t="shared" si="9"/>
        <v>3.9108272176235914E-11</v>
      </c>
      <c r="P59" s="67">
        <f t="shared" si="6"/>
        <v>0</v>
      </c>
      <c r="Q59" s="67">
        <f t="shared" si="10"/>
        <v>0</v>
      </c>
      <c r="R59" s="67">
        <f t="shared" si="7"/>
        <v>3.9108272176235914E-11</v>
      </c>
    </row>
    <row r="60" spans="6:18" x14ac:dyDescent="0.25">
      <c r="F60" s="67">
        <f t="shared" si="13"/>
        <v>54</v>
      </c>
      <c r="G60" s="67">
        <f t="shared" si="12"/>
        <v>8</v>
      </c>
      <c r="H60" s="67">
        <f t="shared" si="0"/>
        <v>2022</v>
      </c>
      <c r="I60" s="122">
        <f t="shared" si="14"/>
        <v>44804</v>
      </c>
      <c r="J60" s="67">
        <f t="shared" si="8"/>
        <v>0</v>
      </c>
      <c r="K60" s="67">
        <f t="shared" si="15"/>
        <v>0</v>
      </c>
      <c r="L60" s="67">
        <f t="shared" si="16"/>
        <v>0</v>
      </c>
      <c r="M60" s="67">
        <f t="shared" si="11"/>
        <v>0</v>
      </c>
      <c r="N60" s="106"/>
      <c r="O60" s="67">
        <f t="shared" si="9"/>
        <v>3.9108272176235914E-11</v>
      </c>
      <c r="P60" s="67">
        <f t="shared" si="6"/>
        <v>0</v>
      </c>
      <c r="Q60" s="67">
        <f t="shared" si="10"/>
        <v>0</v>
      </c>
      <c r="R60" s="67">
        <f t="shared" si="7"/>
        <v>3.9108272176235914E-11</v>
      </c>
    </row>
    <row r="61" spans="6:18" x14ac:dyDescent="0.25">
      <c r="F61" s="67">
        <f t="shared" si="13"/>
        <v>55</v>
      </c>
      <c r="G61" s="67">
        <f t="shared" si="12"/>
        <v>9</v>
      </c>
      <c r="H61" s="67">
        <f t="shared" si="0"/>
        <v>2022</v>
      </c>
      <c r="I61" s="122">
        <f t="shared" si="14"/>
        <v>44834</v>
      </c>
      <c r="J61" s="67">
        <f t="shared" si="8"/>
        <v>0</v>
      </c>
      <c r="K61" s="67">
        <f t="shared" si="15"/>
        <v>0</v>
      </c>
      <c r="L61" s="67">
        <f t="shared" si="16"/>
        <v>0</v>
      </c>
      <c r="M61" s="67">
        <f t="shared" si="11"/>
        <v>0</v>
      </c>
      <c r="N61" s="106"/>
      <c r="O61" s="67">
        <f t="shared" si="9"/>
        <v>3.9108272176235914E-11</v>
      </c>
      <c r="P61" s="67">
        <f t="shared" si="6"/>
        <v>0</v>
      </c>
      <c r="Q61" s="67">
        <f t="shared" si="10"/>
        <v>0</v>
      </c>
      <c r="R61" s="67">
        <f t="shared" si="7"/>
        <v>3.9108272176235914E-11</v>
      </c>
    </row>
    <row r="62" spans="6:18" x14ac:dyDescent="0.25">
      <c r="F62" s="67">
        <f t="shared" si="13"/>
        <v>56</v>
      </c>
      <c r="G62" s="67">
        <f t="shared" si="12"/>
        <v>10</v>
      </c>
      <c r="H62" s="67">
        <f t="shared" si="0"/>
        <v>2022</v>
      </c>
      <c r="I62" s="122">
        <f t="shared" si="14"/>
        <v>44865</v>
      </c>
      <c r="J62" s="67">
        <f t="shared" si="8"/>
        <v>0</v>
      </c>
      <c r="K62" s="67">
        <f t="shared" si="15"/>
        <v>0</v>
      </c>
      <c r="L62" s="67">
        <f t="shared" si="16"/>
        <v>0</v>
      </c>
      <c r="M62" s="67">
        <f t="shared" si="11"/>
        <v>0</v>
      </c>
      <c r="N62" s="106"/>
      <c r="O62" s="67">
        <f t="shared" si="9"/>
        <v>3.9108272176235914E-11</v>
      </c>
      <c r="P62" s="67">
        <f t="shared" si="6"/>
        <v>0</v>
      </c>
      <c r="Q62" s="67">
        <f t="shared" si="10"/>
        <v>0</v>
      </c>
      <c r="R62" s="67">
        <f t="shared" si="7"/>
        <v>3.9108272176235914E-11</v>
      </c>
    </row>
    <row r="63" spans="6:18" x14ac:dyDescent="0.25">
      <c r="F63" s="67">
        <f t="shared" si="13"/>
        <v>57</v>
      </c>
      <c r="G63" s="67">
        <f t="shared" si="12"/>
        <v>11</v>
      </c>
      <c r="H63" s="67">
        <f t="shared" si="0"/>
        <v>2022</v>
      </c>
      <c r="I63" s="122">
        <f t="shared" si="14"/>
        <v>44895</v>
      </c>
      <c r="J63" s="67">
        <f t="shared" si="8"/>
        <v>0</v>
      </c>
      <c r="K63" s="67">
        <f t="shared" si="15"/>
        <v>0</v>
      </c>
      <c r="L63" s="67">
        <f t="shared" si="16"/>
        <v>0</v>
      </c>
      <c r="M63" s="67">
        <f t="shared" si="11"/>
        <v>0</v>
      </c>
      <c r="N63" s="106"/>
      <c r="O63" s="67">
        <f t="shared" si="9"/>
        <v>3.9108272176235914E-11</v>
      </c>
      <c r="P63" s="67">
        <f t="shared" si="6"/>
        <v>0</v>
      </c>
      <c r="Q63" s="67">
        <f t="shared" si="10"/>
        <v>0</v>
      </c>
      <c r="R63" s="67">
        <f t="shared" si="7"/>
        <v>3.9108272176235914E-11</v>
      </c>
    </row>
    <row r="64" spans="6:18" x14ac:dyDescent="0.25">
      <c r="F64" s="67">
        <f t="shared" si="13"/>
        <v>58</v>
      </c>
      <c r="G64" s="67">
        <f t="shared" si="12"/>
        <v>12</v>
      </c>
      <c r="H64" s="67">
        <f t="shared" si="0"/>
        <v>2022</v>
      </c>
      <c r="I64" s="122">
        <f t="shared" si="14"/>
        <v>44926</v>
      </c>
      <c r="J64" s="67">
        <f t="shared" si="8"/>
        <v>0</v>
      </c>
      <c r="K64" s="67">
        <f t="shared" si="15"/>
        <v>0</v>
      </c>
      <c r="L64" s="67">
        <f t="shared" si="16"/>
        <v>0</v>
      </c>
      <c r="M64" s="67">
        <f t="shared" si="11"/>
        <v>0</v>
      </c>
      <c r="N64" s="106"/>
      <c r="O64" s="67">
        <f t="shared" si="9"/>
        <v>3.9108272176235914E-11</v>
      </c>
      <c r="P64" s="67">
        <f t="shared" si="6"/>
        <v>0</v>
      </c>
      <c r="Q64" s="67">
        <f t="shared" si="10"/>
        <v>0</v>
      </c>
      <c r="R64" s="67">
        <f t="shared" si="7"/>
        <v>3.9108272176235914E-11</v>
      </c>
    </row>
    <row r="65" spans="6:18" x14ac:dyDescent="0.25">
      <c r="F65" s="67">
        <f t="shared" si="13"/>
        <v>59</v>
      </c>
      <c r="G65" s="67">
        <f t="shared" si="12"/>
        <v>1</v>
      </c>
      <c r="H65" s="67">
        <f t="shared" si="0"/>
        <v>2023</v>
      </c>
      <c r="I65" s="122">
        <f t="shared" si="14"/>
        <v>44957</v>
      </c>
      <c r="J65" s="67">
        <f t="shared" si="8"/>
        <v>0</v>
      </c>
      <c r="K65" s="67">
        <f t="shared" si="15"/>
        <v>0</v>
      </c>
      <c r="L65" s="67">
        <f t="shared" si="16"/>
        <v>0</v>
      </c>
      <c r="M65" s="67">
        <f t="shared" si="11"/>
        <v>0</v>
      </c>
      <c r="N65" s="106"/>
      <c r="O65" s="67">
        <f t="shared" si="9"/>
        <v>3.9108272176235914E-11</v>
      </c>
      <c r="P65" s="67">
        <f t="shared" si="6"/>
        <v>0</v>
      </c>
      <c r="Q65" s="67">
        <f t="shared" si="10"/>
        <v>0</v>
      </c>
      <c r="R65" s="67">
        <f t="shared" si="7"/>
        <v>3.9108272176235914E-11</v>
      </c>
    </row>
    <row r="66" spans="6:18" x14ac:dyDescent="0.25">
      <c r="F66" s="67">
        <f t="shared" si="13"/>
        <v>60</v>
      </c>
      <c r="G66" s="67">
        <f t="shared" si="12"/>
        <v>2</v>
      </c>
      <c r="H66" s="67">
        <f t="shared" si="0"/>
        <v>2023</v>
      </c>
      <c r="I66" s="122">
        <f t="shared" si="14"/>
        <v>44985</v>
      </c>
      <c r="J66" s="67">
        <f t="shared" si="8"/>
        <v>0</v>
      </c>
      <c r="K66" s="67">
        <f t="shared" si="15"/>
        <v>0</v>
      </c>
      <c r="L66" s="67">
        <f t="shared" si="16"/>
        <v>0</v>
      </c>
      <c r="M66" s="67">
        <f t="shared" si="11"/>
        <v>0</v>
      </c>
      <c r="N66" s="106"/>
      <c r="O66" s="67">
        <f t="shared" si="9"/>
        <v>3.9108272176235914E-11</v>
      </c>
      <c r="P66" s="67">
        <f t="shared" si="6"/>
        <v>0</v>
      </c>
      <c r="Q66" s="67">
        <f t="shared" si="10"/>
        <v>0</v>
      </c>
      <c r="R66" s="67">
        <f t="shared" si="7"/>
        <v>3.9108272176235914E-11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'План продаж'!$E$5:$E$66</xm:f>
          </x14:formula1>
          <xm:sqref>C5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</sheetPr>
  <dimension ref="B1:L21"/>
  <sheetViews>
    <sheetView workbookViewId="0">
      <selection activeCell="I20" sqref="I20"/>
    </sheetView>
  </sheetViews>
  <sheetFormatPr defaultRowHeight="15" x14ac:dyDescent="0.25"/>
  <cols>
    <col min="1" max="1" width="9.140625" style="1"/>
    <col min="2" max="2" width="40.140625" style="1" bestFit="1" customWidth="1"/>
    <col min="3" max="3" width="33.5703125" style="1" bestFit="1" customWidth="1"/>
    <col min="4" max="4" width="13.42578125" style="1" bestFit="1" customWidth="1"/>
    <col min="5" max="5" width="29.140625" style="1" bestFit="1" customWidth="1"/>
    <col min="6" max="6" width="17" style="1" customWidth="1"/>
    <col min="7" max="7" width="18.140625" style="1" bestFit="1" customWidth="1"/>
    <col min="8" max="8" width="10.7109375" style="1" customWidth="1"/>
    <col min="9" max="9" width="11.42578125" style="1" bestFit="1" customWidth="1"/>
    <col min="10" max="11" width="9.140625" style="1"/>
    <col min="12" max="12" width="27" style="1" customWidth="1"/>
    <col min="13" max="13" width="9.28515625" style="1" bestFit="1" customWidth="1"/>
    <col min="14" max="14" width="10" style="1" bestFit="1" customWidth="1"/>
    <col min="15" max="15" width="14.140625" style="1" bestFit="1" customWidth="1"/>
    <col min="16" max="17" width="10" style="1" bestFit="1" customWidth="1"/>
    <col min="18" max="16384" width="9.140625" style="1"/>
  </cols>
  <sheetData>
    <row r="1" spans="2:12" ht="18.75" x14ac:dyDescent="0.3">
      <c r="B1" s="102" t="s">
        <v>55</v>
      </c>
    </row>
    <row r="2" spans="2:12" ht="19.5" thickBot="1" x14ac:dyDescent="0.35">
      <c r="B2" s="102"/>
    </row>
    <row r="3" spans="2:12" ht="20.25" thickTop="1" thickBot="1" x14ac:dyDescent="0.35">
      <c r="B3" s="102"/>
      <c r="H3" s="26" t="s">
        <v>202</v>
      </c>
      <c r="I3" s="26" t="s">
        <v>65</v>
      </c>
      <c r="L3" s="208" t="s">
        <v>336</v>
      </c>
    </row>
    <row r="4" spans="2:12" ht="16.5" thickTop="1" thickBot="1" x14ac:dyDescent="0.3">
      <c r="B4" s="26" t="s">
        <v>26</v>
      </c>
      <c r="C4" s="26" t="s">
        <v>57</v>
      </c>
      <c r="D4" s="26" t="s">
        <v>28</v>
      </c>
      <c r="E4" s="26" t="s">
        <v>150</v>
      </c>
      <c r="F4" s="153" t="s">
        <v>47</v>
      </c>
      <c r="G4" s="26" t="s">
        <v>75</v>
      </c>
      <c r="H4" s="26" t="s">
        <v>27</v>
      </c>
      <c r="I4" s="26" t="s">
        <v>27</v>
      </c>
      <c r="L4" s="208" t="s">
        <v>59</v>
      </c>
    </row>
    <row r="5" spans="2:12" ht="15.75" thickTop="1" x14ac:dyDescent="0.25">
      <c r="B5" s="67" t="s">
        <v>59</v>
      </c>
      <c r="C5" s="206" t="s">
        <v>309</v>
      </c>
      <c r="D5" s="67" t="s">
        <v>34</v>
      </c>
      <c r="E5" s="67" t="s">
        <v>325</v>
      </c>
      <c r="F5" s="122">
        <f>INDEX('План продаж'!E:E,MATCH(G5,'План продаж'!$B:$B,0),1)</f>
        <v>43190</v>
      </c>
      <c r="G5" s="67">
        <f>INDEX('График проекта'!$B$6:$B$14,MATCH(E5,'График проекта'!$H$6:$H$14,0),1)</f>
        <v>1</v>
      </c>
      <c r="H5" s="67">
        <v>10000</v>
      </c>
      <c r="I5" s="67">
        <f t="shared" ref="I5:I10" si="0">H5*(12-MONTH(G5))</f>
        <v>110000</v>
      </c>
      <c r="L5" s="208" t="s">
        <v>58</v>
      </c>
    </row>
    <row r="6" spans="2:12" x14ac:dyDescent="0.25">
      <c r="B6" s="67" t="s">
        <v>59</v>
      </c>
      <c r="C6" s="206" t="s">
        <v>310</v>
      </c>
      <c r="D6" s="67" t="s">
        <v>34</v>
      </c>
      <c r="E6" s="67" t="s">
        <v>325</v>
      </c>
      <c r="F6" s="122">
        <f>INDEX('План продаж'!E:E,MATCH(G6,'План продаж'!$B:$B,0),1)</f>
        <v>43190</v>
      </c>
      <c r="G6" s="67">
        <f>INDEX('График проекта'!$B$6:$B$14,MATCH(E6,'График проекта'!$H$6:$H$14,0),1)</f>
        <v>1</v>
      </c>
      <c r="H6" s="67">
        <v>10000</v>
      </c>
      <c r="I6" s="67">
        <f t="shared" si="0"/>
        <v>110000</v>
      </c>
      <c r="L6" s="208" t="s">
        <v>324</v>
      </c>
    </row>
    <row r="7" spans="2:12" x14ac:dyDescent="0.25">
      <c r="B7" s="67" t="s">
        <v>59</v>
      </c>
      <c r="C7" s="206" t="s">
        <v>311</v>
      </c>
      <c r="D7" s="67" t="s">
        <v>34</v>
      </c>
      <c r="E7" s="67" t="s">
        <v>325</v>
      </c>
      <c r="F7" s="122">
        <f>INDEX('План продаж'!E:E,MATCH(G7,'План продаж'!$B:$B,0),1)</f>
        <v>43190</v>
      </c>
      <c r="G7" s="67">
        <f>INDEX('График проекта'!$B$6:$B$14,MATCH(E7,'График проекта'!$H$6:$H$14,0),1)</f>
        <v>1</v>
      </c>
      <c r="H7" s="67">
        <v>15000</v>
      </c>
      <c r="I7" s="67">
        <f t="shared" si="0"/>
        <v>165000</v>
      </c>
      <c r="L7" s="208" t="s">
        <v>56</v>
      </c>
    </row>
    <row r="8" spans="2:12" x14ac:dyDescent="0.25">
      <c r="B8" s="67" t="s">
        <v>59</v>
      </c>
      <c r="C8" s="206" t="s">
        <v>312</v>
      </c>
      <c r="D8" s="67" t="s">
        <v>34</v>
      </c>
      <c r="E8" s="67" t="s">
        <v>325</v>
      </c>
      <c r="F8" s="122">
        <f>INDEX('План продаж'!E:E,MATCH(G8,'План продаж'!$B:$B,0),1)</f>
        <v>43190</v>
      </c>
      <c r="G8" s="67">
        <f>INDEX('График проекта'!$B$6:$B$14,MATCH(E8,'График проекта'!$H$6:$H$14,0),1)</f>
        <v>1</v>
      </c>
      <c r="H8" s="67">
        <v>15000</v>
      </c>
      <c r="I8" s="67">
        <f t="shared" si="0"/>
        <v>165000</v>
      </c>
      <c r="L8" s="208" t="s">
        <v>223</v>
      </c>
    </row>
    <row r="9" spans="2:12" x14ac:dyDescent="0.25">
      <c r="B9" s="67" t="s">
        <v>59</v>
      </c>
      <c r="C9" s="206" t="s">
        <v>313</v>
      </c>
      <c r="D9" s="67" t="s">
        <v>34</v>
      </c>
      <c r="E9" s="67" t="s">
        <v>325</v>
      </c>
      <c r="F9" s="122">
        <f>INDEX('План продаж'!E:E,MATCH(G9,'План продаж'!$B:$B,0),1)</f>
        <v>43190</v>
      </c>
      <c r="G9" s="67">
        <f>INDEX('График проекта'!$B$6:$B$14,MATCH(E9,'График проекта'!$H$6:$H$14,0),1)</f>
        <v>1</v>
      </c>
      <c r="H9" s="67">
        <v>20000</v>
      </c>
      <c r="I9" s="67">
        <f t="shared" si="0"/>
        <v>220000</v>
      </c>
    </row>
    <row r="10" spans="2:12" x14ac:dyDescent="0.25">
      <c r="B10" s="67" t="s">
        <v>59</v>
      </c>
      <c r="C10" s="206" t="s">
        <v>314</v>
      </c>
      <c r="D10" s="67" t="s">
        <v>34</v>
      </c>
      <c r="E10" s="67" t="s">
        <v>325</v>
      </c>
      <c r="F10" s="122">
        <f>INDEX('План продаж'!E:E,MATCH(G10,'План продаж'!$B:$B,0),1)</f>
        <v>43190</v>
      </c>
      <c r="G10" s="67">
        <f>INDEX('График проекта'!$B$6:$B$14,MATCH(E10,'График проекта'!$H$6:$H$14,0),1)</f>
        <v>1</v>
      </c>
      <c r="H10" s="67">
        <v>15000</v>
      </c>
      <c r="I10" s="67">
        <f t="shared" si="0"/>
        <v>165000</v>
      </c>
    </row>
    <row r="11" spans="2:12" x14ac:dyDescent="0.25">
      <c r="B11" s="67" t="s">
        <v>58</v>
      </c>
      <c r="C11" s="206" t="s">
        <v>315</v>
      </c>
      <c r="D11" s="67" t="s">
        <v>34</v>
      </c>
      <c r="E11" s="67" t="s">
        <v>325</v>
      </c>
      <c r="F11" s="122">
        <f>INDEX('План продаж'!E:E,MATCH(G11,'План продаж'!$B:$B,0),1)</f>
        <v>43190</v>
      </c>
      <c r="G11" s="67">
        <f>INDEX('График проекта'!$B$6:$B$14,MATCH(E11,'График проекта'!$H$6:$H$14,0),1)</f>
        <v>1</v>
      </c>
      <c r="H11" s="67">
        <v>100000</v>
      </c>
      <c r="I11" s="67">
        <f t="shared" ref="I11:I20" si="1">H11*(12-MONTH(G11))</f>
        <v>1100000</v>
      </c>
    </row>
    <row r="12" spans="2:12" x14ac:dyDescent="0.25">
      <c r="B12" s="67" t="s">
        <v>58</v>
      </c>
      <c r="C12" s="206" t="s">
        <v>316</v>
      </c>
      <c r="D12" s="67" t="s">
        <v>34</v>
      </c>
      <c r="E12" s="67" t="s">
        <v>325</v>
      </c>
      <c r="F12" s="122">
        <f>INDEX('План продаж'!E:E,MATCH(G12,'План продаж'!$B:$B,0),1)</f>
        <v>43190</v>
      </c>
      <c r="G12" s="67">
        <f>INDEX('График проекта'!$B$6:$B$14,MATCH(E12,'График проекта'!$H$6:$H$14,0),1)</f>
        <v>1</v>
      </c>
      <c r="H12" s="67">
        <v>90000</v>
      </c>
      <c r="I12" s="67">
        <f t="shared" si="1"/>
        <v>990000</v>
      </c>
    </row>
    <row r="13" spans="2:12" x14ac:dyDescent="0.25">
      <c r="B13" s="67" t="s">
        <v>58</v>
      </c>
      <c r="C13" s="206" t="s">
        <v>317</v>
      </c>
      <c r="D13" s="67" t="s">
        <v>34</v>
      </c>
      <c r="E13" s="67" t="s">
        <v>325</v>
      </c>
      <c r="F13" s="122">
        <f>INDEX('План продаж'!E:E,MATCH(G13,'План продаж'!$B:$B,0),1)</f>
        <v>43190</v>
      </c>
      <c r="G13" s="67">
        <f>INDEX('График проекта'!$B$6:$B$14,MATCH(E13,'График проекта'!$H$6:$H$14,0),1)</f>
        <v>1</v>
      </c>
      <c r="H13" s="67">
        <v>5000</v>
      </c>
      <c r="I13" s="67">
        <f t="shared" si="1"/>
        <v>55000</v>
      </c>
    </row>
    <row r="14" spans="2:12" x14ac:dyDescent="0.25">
      <c r="B14" s="67" t="s">
        <v>324</v>
      </c>
      <c r="C14" s="206" t="s">
        <v>318</v>
      </c>
      <c r="D14" s="67" t="s">
        <v>34</v>
      </c>
      <c r="E14" s="67" t="s">
        <v>325</v>
      </c>
      <c r="F14" s="122">
        <f>INDEX('План продаж'!E:E,MATCH(G14,'План продаж'!$B:$B,0),1)</f>
        <v>43190</v>
      </c>
      <c r="G14" s="67">
        <f>INDEX('График проекта'!$B$6:$B$14,MATCH(E14,'График проекта'!$H$6:$H$14,0),1)</f>
        <v>1</v>
      </c>
      <c r="H14" s="67">
        <v>5000</v>
      </c>
      <c r="I14" s="67">
        <f t="shared" si="1"/>
        <v>55000</v>
      </c>
    </row>
    <row r="15" spans="2:12" x14ac:dyDescent="0.25">
      <c r="B15" s="67" t="s">
        <v>59</v>
      </c>
      <c r="C15" s="206" t="s">
        <v>319</v>
      </c>
      <c r="D15" s="67" t="s">
        <v>34</v>
      </c>
      <c r="E15" s="67" t="s">
        <v>325</v>
      </c>
      <c r="F15" s="122">
        <f>INDEX('План продаж'!E:E,MATCH(G15,'План продаж'!$B:$B,0),1)</f>
        <v>43190</v>
      </c>
      <c r="G15" s="67">
        <f>INDEX('График проекта'!$B$6:$B$14,MATCH(E15,'График проекта'!$H$6:$H$14,0),1)</f>
        <v>1</v>
      </c>
      <c r="H15" s="67">
        <v>10000</v>
      </c>
      <c r="I15" s="67">
        <f t="shared" si="1"/>
        <v>110000</v>
      </c>
    </row>
    <row r="16" spans="2:12" x14ac:dyDescent="0.25">
      <c r="B16" s="67" t="s">
        <v>59</v>
      </c>
      <c r="C16" s="206" t="s">
        <v>320</v>
      </c>
      <c r="D16" s="67" t="s">
        <v>34</v>
      </c>
      <c r="E16" s="67" t="s">
        <v>325</v>
      </c>
      <c r="F16" s="122">
        <f>INDEX('План продаж'!E:E,MATCH(G16,'План продаж'!$B:$B,0),1)</f>
        <v>43190</v>
      </c>
      <c r="G16" s="67">
        <f>INDEX('График проекта'!$B$6:$B$14,MATCH(E16,'График проекта'!$H$6:$H$14,0),1)</f>
        <v>1</v>
      </c>
      <c r="H16" s="67">
        <v>90000</v>
      </c>
      <c r="I16" s="67">
        <f t="shared" si="1"/>
        <v>990000</v>
      </c>
    </row>
    <row r="17" spans="2:9" x14ac:dyDescent="0.25">
      <c r="B17" s="67" t="s">
        <v>56</v>
      </c>
      <c r="C17" s="206" t="s">
        <v>321</v>
      </c>
      <c r="D17" s="67" t="s">
        <v>34</v>
      </c>
      <c r="E17" s="67" t="s">
        <v>325</v>
      </c>
      <c r="F17" s="122">
        <f>INDEX('План продаж'!E:E,MATCH(G17,'План продаж'!$B:$B,0),1)</f>
        <v>43190</v>
      </c>
      <c r="G17" s="67">
        <f>INDEX('График проекта'!$B$6:$B$14,MATCH(E17,'График проекта'!$H$6:$H$14,0),1)</f>
        <v>1</v>
      </c>
      <c r="H17" s="67">
        <v>80000</v>
      </c>
      <c r="I17" s="67">
        <f t="shared" si="1"/>
        <v>880000</v>
      </c>
    </row>
    <row r="18" spans="2:9" x14ac:dyDescent="0.25">
      <c r="B18" s="67" t="s">
        <v>58</v>
      </c>
      <c r="C18" s="206" t="s">
        <v>322</v>
      </c>
      <c r="D18" s="67" t="s">
        <v>34</v>
      </c>
      <c r="E18" s="67" t="s">
        <v>325</v>
      </c>
      <c r="F18" s="122">
        <f>INDEX('План продаж'!E:E,MATCH(G18,'План продаж'!$B:$B,0),1)</f>
        <v>43190</v>
      </c>
      <c r="G18" s="67">
        <f>INDEX('График проекта'!$B$6:$B$14,MATCH(E18,'График проекта'!$H$6:$H$14,0),1)</f>
        <v>1</v>
      </c>
      <c r="H18" s="67">
        <v>14000</v>
      </c>
      <c r="I18" s="67">
        <f t="shared" si="1"/>
        <v>154000</v>
      </c>
    </row>
    <row r="19" spans="2:9" x14ac:dyDescent="0.25">
      <c r="B19" s="67" t="s">
        <v>58</v>
      </c>
      <c r="C19" s="206" t="s">
        <v>323</v>
      </c>
      <c r="D19" s="67" t="s">
        <v>34</v>
      </c>
      <c r="E19" s="67" t="s">
        <v>325</v>
      </c>
      <c r="F19" s="122">
        <f>INDEX('План продаж'!E:E,MATCH(G19,'План продаж'!$B:$B,0),1)</f>
        <v>43190</v>
      </c>
      <c r="G19" s="67">
        <f>INDEX('График проекта'!$B$6:$B$14,MATCH(E19,'График проекта'!$H$6:$H$14,0),1)</f>
        <v>1</v>
      </c>
      <c r="H19" s="67">
        <v>15000</v>
      </c>
      <c r="I19" s="67">
        <f t="shared" si="1"/>
        <v>165000</v>
      </c>
    </row>
    <row r="20" spans="2:9" x14ac:dyDescent="0.25">
      <c r="B20" s="67" t="s">
        <v>59</v>
      </c>
      <c r="C20" s="67" t="s">
        <v>443</v>
      </c>
      <c r="D20" s="107" t="s">
        <v>34</v>
      </c>
      <c r="E20" s="67" t="s">
        <v>325</v>
      </c>
      <c r="F20" s="122">
        <f>INDEX('План продаж'!E:E,MATCH(G20,'План продаж'!$B:$B,0),1)</f>
        <v>43190</v>
      </c>
      <c r="G20" s="67">
        <f>INDEX('График проекта'!$B$6:$B$14,MATCH(E20,'График проекта'!$H$6:$H$14,0),1)</f>
        <v>1</v>
      </c>
      <c r="H20" s="67">
        <f>3000*22</f>
        <v>66000</v>
      </c>
      <c r="I20" s="67">
        <f t="shared" si="1"/>
        <v>726000</v>
      </c>
    </row>
    <row r="21" spans="2:9" x14ac:dyDescent="0.25">
      <c r="B21" s="67"/>
      <c r="C21" s="67"/>
      <c r="D21" s="107"/>
      <c r="E21" s="67"/>
      <c r="F21" s="67"/>
      <c r="G21" s="67"/>
      <c r="H21" s="67"/>
      <c r="I21" s="67"/>
    </row>
  </sheetData>
  <dataValidations count="2">
    <dataValidation type="list" allowBlank="1" showInputMessage="1" showErrorMessage="1" sqref="E5:F21" xr:uid="{00000000-0002-0000-0A00-000000000000}">
      <formula1>События</formula1>
    </dataValidation>
    <dataValidation type="list" allowBlank="1" showInputMessage="1" showErrorMessage="1" sqref="B5:B19" xr:uid="{F0F6F24F-9633-409B-B1F1-1758C6C6D252}">
      <formula1>$L$3:$L$12</formula1>
    </dataValidation>
  </dataValidation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CA4D28-FAF7-4F71-9896-6C9595552668}">
          <x14:formula1>
            <xm:f>'График проекта'!$K$13:$K$18</xm:f>
          </x14:formula1>
          <xm:sqref>D5:D19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</sheetPr>
  <dimension ref="B1:N63"/>
  <sheetViews>
    <sheetView showGridLines="0" topLeftCell="A28" workbookViewId="0">
      <selection activeCell="F52" sqref="F52"/>
    </sheetView>
  </sheetViews>
  <sheetFormatPr defaultRowHeight="15" x14ac:dyDescent="0.25"/>
  <cols>
    <col min="1" max="1" width="3.28515625" style="1" customWidth="1"/>
    <col min="2" max="2" width="34.5703125" style="1" bestFit="1" customWidth="1"/>
    <col min="3" max="3" width="36.42578125" style="1" customWidth="1"/>
    <col min="4" max="5" width="34.28515625" style="1" bestFit="1" customWidth="1"/>
    <col min="6" max="6" width="34.140625" style="1" bestFit="1" customWidth="1"/>
    <col min="7" max="7" width="28.28515625" style="1" bestFit="1" customWidth="1"/>
    <col min="8" max="9" width="22.140625" style="66" bestFit="1" customWidth="1"/>
    <col min="10" max="10" width="22.140625" style="1" bestFit="1" customWidth="1"/>
    <col min="11" max="11" width="21.7109375" style="1" customWidth="1"/>
    <col min="12" max="12" width="18.5703125" style="1" bestFit="1" customWidth="1"/>
    <col min="13" max="13" width="15" style="1" customWidth="1"/>
    <col min="14" max="14" width="18.5703125" style="1" bestFit="1" customWidth="1"/>
    <col min="15" max="16384" width="9.140625" style="1"/>
  </cols>
  <sheetData>
    <row r="1" spans="2:13" ht="21" x14ac:dyDescent="0.35">
      <c r="B1" s="43" t="s">
        <v>177</v>
      </c>
    </row>
    <row r="2" spans="2:13" ht="9.75" customHeight="1" x14ac:dyDescent="0.3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3" ht="9.75" customHeight="1" x14ac:dyDescent="0.25">
      <c r="H3" s="1"/>
      <c r="I3" s="1"/>
    </row>
    <row r="4" spans="2:13" ht="15.75" x14ac:dyDescent="0.25">
      <c r="C4" s="81" t="s">
        <v>363</v>
      </c>
      <c r="D4" s="132">
        <f>60</f>
        <v>60</v>
      </c>
    </row>
    <row r="5" spans="2:13" ht="16.5" thickBot="1" x14ac:dyDescent="0.3">
      <c r="C5" s="81"/>
      <c r="D5" s="216"/>
    </row>
    <row r="6" spans="2:13" ht="30" customHeight="1" thickTop="1" thickBot="1" x14ac:dyDescent="0.3">
      <c r="B6" s="253" t="s">
        <v>105</v>
      </c>
      <c r="C6" s="253"/>
      <c r="D6" s="26" t="s">
        <v>325</v>
      </c>
      <c r="E6" s="26" t="s">
        <v>326</v>
      </c>
      <c r="F6" s="26" t="s">
        <v>364</v>
      </c>
      <c r="G6" s="221" t="s">
        <v>327</v>
      </c>
    </row>
    <row r="7" spans="2:13" ht="15.75" thickTop="1" x14ac:dyDescent="0.25">
      <c r="B7" s="123" t="s">
        <v>27</v>
      </c>
      <c r="C7" s="124">
        <f>SUM(D7:G7)</f>
        <v>5175691</v>
      </c>
      <c r="D7" s="124">
        <f>SUM(H25:H49)</f>
        <v>707114</v>
      </c>
      <c r="E7" s="124">
        <f>SUM(I25:I49)</f>
        <v>977114</v>
      </c>
      <c r="F7" s="124">
        <f>SUM(L25:L54)</f>
        <v>3401463</v>
      </c>
      <c r="G7" s="124">
        <f>+$K$51</f>
        <v>90000</v>
      </c>
    </row>
    <row r="8" spans="2:13" x14ac:dyDescent="0.25">
      <c r="B8" s="125" t="s">
        <v>82</v>
      </c>
      <c r="C8" s="126">
        <v>0</v>
      </c>
      <c r="D8" s="127">
        <f>YEAR(INDEX('График проекта'!$C$6:$C$14,MATCH(Инвестиции!D$6,'График проекта'!$H$6:$H$14,0)))</f>
        <v>2018</v>
      </c>
      <c r="E8" s="127">
        <f>YEAR(INDEX('График проекта'!$C$6:$C$14,MATCH(Инвестиции!E$6,'График проекта'!$H$6:$H$14,0)))</f>
        <v>2018</v>
      </c>
      <c r="F8" s="127">
        <f>YEAR(INDEX('График проекта'!$C$6:$C$14,MATCH(Инвестиции!F$6,'График проекта'!$H$6:$H$14,0)))</f>
        <v>2018</v>
      </c>
      <c r="G8" s="127"/>
    </row>
    <row r="9" spans="2:13" x14ac:dyDescent="0.25">
      <c r="B9" s="125" t="s">
        <v>178</v>
      </c>
      <c r="C9" s="126">
        <v>0</v>
      </c>
      <c r="D9" s="127">
        <f>INDEX('График проекта'!$B$6:$B$14,MATCH(Инвестиции!D$6,'График проекта'!$H$6:$H$14,0))-1</f>
        <v>0</v>
      </c>
      <c r="E9" s="127">
        <f>INDEX('График проекта'!$B$6:$B$14,MATCH(Инвестиции!E$6,'График проекта'!$H$6:$H$14,0))-1</f>
        <v>0</v>
      </c>
      <c r="F9" s="127">
        <f>INDEX('График проекта'!$B$6:$B$14,MATCH(Инвестиции!F$6,'График проекта'!$H$6:$H$14,0))</f>
        <v>0</v>
      </c>
      <c r="G9" s="127"/>
    </row>
    <row r="10" spans="2:13" x14ac:dyDescent="0.25">
      <c r="B10" s="125" t="s">
        <v>224</v>
      </c>
      <c r="C10" s="126">
        <f>C7/60</f>
        <v>86261.516666666663</v>
      </c>
      <c r="D10" s="127">
        <f>D7/$D$4</f>
        <v>11785.233333333334</v>
      </c>
      <c r="E10" s="127">
        <f>E7/$D$4</f>
        <v>16285.233333333334</v>
      </c>
      <c r="F10" s="127">
        <f>F7/$D$4</f>
        <v>56691.05</v>
      </c>
      <c r="G10" s="127"/>
    </row>
    <row r="11" spans="2:13" x14ac:dyDescent="0.25">
      <c r="B11" s="27"/>
      <c r="C11" s="128"/>
      <c r="D11" s="112"/>
      <c r="E11" s="112"/>
      <c r="F11" s="112"/>
    </row>
    <row r="12" spans="2:13" ht="15.75" thickBot="1" x14ac:dyDescent="0.3">
      <c r="B12" s="27"/>
      <c r="C12" s="128"/>
      <c r="D12" s="112"/>
      <c r="E12" s="267" t="s">
        <v>365</v>
      </c>
      <c r="F12" s="267"/>
      <c r="G12" s="267"/>
      <c r="H12" s="268" t="s">
        <v>366</v>
      </c>
      <c r="I12" s="268"/>
      <c r="J12" s="268"/>
      <c r="K12" s="268"/>
    </row>
    <row r="13" spans="2:13" ht="16.5" thickTop="1" thickBot="1" x14ac:dyDescent="0.3">
      <c r="B13" s="140"/>
      <c r="C13" s="140" t="s">
        <v>230</v>
      </c>
      <c r="D13" s="140" t="s">
        <v>223</v>
      </c>
      <c r="E13" s="140" t="s">
        <v>236</v>
      </c>
      <c r="F13" s="140" t="s">
        <v>238</v>
      </c>
      <c r="G13" s="140" t="s">
        <v>34</v>
      </c>
      <c r="H13" s="217" t="s">
        <v>223</v>
      </c>
      <c r="I13" s="153" t="s">
        <v>236</v>
      </c>
      <c r="J13" s="153" t="s">
        <v>238</v>
      </c>
      <c r="K13" s="153" t="s">
        <v>34</v>
      </c>
      <c r="L13" s="158" t="s">
        <v>373</v>
      </c>
      <c r="M13" s="158" t="s">
        <v>202</v>
      </c>
    </row>
    <row r="14" spans="2:13" ht="15.75" thickTop="1" x14ac:dyDescent="0.25">
      <c r="B14" s="27">
        <v>2017</v>
      </c>
      <c r="C14" s="128">
        <f>IFERROR(INDEX('План продаж'!$B:$B,MATCH(DATE(B14,12,31),'План продаж'!$E:$E,1),1),0)</f>
        <v>0</v>
      </c>
      <c r="D14" s="58">
        <f>SUM(E14:G14)</f>
        <v>0</v>
      </c>
      <c r="E14" s="151">
        <f t="shared" ref="E14:E20" si="0">IF(C14&gt;0,($C14-D$9)*D$10,0)</f>
        <v>0</v>
      </c>
      <c r="F14" s="151"/>
      <c r="G14" s="151"/>
      <c r="H14" s="218">
        <f>SUM(I14:K14)</f>
        <v>0</v>
      </c>
      <c r="I14" s="151">
        <f>E14</f>
        <v>0</v>
      </c>
      <c r="J14" s="151">
        <f t="shared" ref="J14:K14" si="1">F14</f>
        <v>0</v>
      </c>
      <c r="K14" s="151">
        <f t="shared" si="1"/>
        <v>0</v>
      </c>
      <c r="L14" s="1">
        <f>COUNTIFS('План продаж'!$D:$D,Инвестиции!$B14)</f>
        <v>0</v>
      </c>
    </row>
    <row r="15" spans="2:13" x14ac:dyDescent="0.25">
      <c r="B15" s="27">
        <v>2018</v>
      </c>
      <c r="C15" s="128">
        <f>INDEX('План продаж'!$B:$B,MATCH(DATE(B15,12,31),'План продаж'!$E:$E,1),1)</f>
        <v>10</v>
      </c>
      <c r="D15" s="58">
        <f t="shared" ref="D15:D18" si="2">SUM(E15:G15)</f>
        <v>847615.16666666674</v>
      </c>
      <c r="E15" s="151">
        <f t="shared" si="0"/>
        <v>117852.33333333334</v>
      </c>
      <c r="F15" s="151">
        <f>($C15-E$9)*E$10</f>
        <v>162852.33333333334</v>
      </c>
      <c r="G15" s="151">
        <f>($C15-F$9)*$F$10</f>
        <v>566910.5</v>
      </c>
      <c r="H15" s="218">
        <f>SUM(I15:K15)</f>
        <v>847615.16666666674</v>
      </c>
      <c r="I15" s="151">
        <f>E15-E14</f>
        <v>117852.33333333334</v>
      </c>
      <c r="J15" s="151">
        <f t="shared" ref="J15:J19" si="3">F15-F14</f>
        <v>162852.33333333334</v>
      </c>
      <c r="K15" s="151">
        <f>G15-G14</f>
        <v>566910.5</v>
      </c>
      <c r="L15" s="1">
        <f>COUNTIFS('План продаж'!$D:$D,Инвестиции!$B15)</f>
        <v>11</v>
      </c>
      <c r="M15" s="58">
        <f>H15/L15</f>
        <v>77055.924242424255</v>
      </c>
    </row>
    <row r="16" spans="2:13" x14ac:dyDescent="0.25">
      <c r="B16" s="27">
        <v>2019</v>
      </c>
      <c r="C16" s="128">
        <f>INDEX('План продаж'!$B:$B,MATCH(DATE(B16,12,31),'План продаж'!$E:$E,1),1)</f>
        <v>22</v>
      </c>
      <c r="D16" s="58">
        <f t="shared" si="2"/>
        <v>1864753.3666666667</v>
      </c>
      <c r="E16" s="151">
        <f t="shared" si="0"/>
        <v>259275.13333333333</v>
      </c>
      <c r="F16" s="151">
        <f>($C16-E$9)*E$10</f>
        <v>358275.13333333336</v>
      </c>
      <c r="G16" s="151">
        <f t="shared" ref="G16:G19" si="4">($C16-F$9)*$F$10</f>
        <v>1247203.1000000001</v>
      </c>
      <c r="H16" s="218">
        <f t="shared" ref="H16:H19" si="5">SUM(I16:K16)</f>
        <v>1017138.2000000001</v>
      </c>
      <c r="I16" s="151">
        <f t="shared" ref="I16:I18" si="6">E16-E15</f>
        <v>141422.79999999999</v>
      </c>
      <c r="J16" s="151">
        <f t="shared" si="3"/>
        <v>195422.80000000002</v>
      </c>
      <c r="K16" s="151">
        <f t="shared" ref="K16:K19" si="7">G16-G15</f>
        <v>680292.60000000009</v>
      </c>
      <c r="L16" s="1">
        <f>COUNTIFS('План продаж'!$D:$D,Инвестиции!$B16)</f>
        <v>12</v>
      </c>
      <c r="M16" s="58">
        <f t="shared" ref="M16:M20" si="8">H16/L16</f>
        <v>84761.516666666677</v>
      </c>
    </row>
    <row r="17" spans="2:14" x14ac:dyDescent="0.25">
      <c r="B17" s="27">
        <v>2020</v>
      </c>
      <c r="C17" s="128">
        <f>INDEX('План продаж'!$B:$B,MATCH(DATE(B17,12,31),'План продаж'!$E:$E,1),1)</f>
        <v>34</v>
      </c>
      <c r="D17" s="58">
        <f t="shared" si="2"/>
        <v>2881891.5666666669</v>
      </c>
      <c r="E17" s="151">
        <f t="shared" si="0"/>
        <v>400697.93333333335</v>
      </c>
      <c r="F17" s="151">
        <f t="shared" ref="F17:F19" si="9">($C17-E$9)*E$10</f>
        <v>553697.93333333335</v>
      </c>
      <c r="G17" s="151">
        <f t="shared" si="4"/>
        <v>1927495.7000000002</v>
      </c>
      <c r="H17" s="218">
        <f t="shared" si="5"/>
        <v>1017138.2000000001</v>
      </c>
      <c r="I17" s="151">
        <f t="shared" si="6"/>
        <v>141422.80000000002</v>
      </c>
      <c r="J17" s="151">
        <f t="shared" si="3"/>
        <v>195422.8</v>
      </c>
      <c r="K17" s="151">
        <f>G17-G16</f>
        <v>680292.60000000009</v>
      </c>
      <c r="L17" s="1">
        <f>COUNTIFS('План продаж'!$D:$D,Инвестиции!$B17)</f>
        <v>12</v>
      </c>
      <c r="M17" s="58">
        <f t="shared" si="8"/>
        <v>84761.516666666677</v>
      </c>
    </row>
    <row r="18" spans="2:14" x14ac:dyDescent="0.25">
      <c r="B18" s="27">
        <v>2021</v>
      </c>
      <c r="C18" s="128">
        <f>INDEX('План продаж'!$B:$B,MATCH(DATE(B18,12,31),'План продаж'!$E:$E,1),1)</f>
        <v>46</v>
      </c>
      <c r="D18" s="58">
        <f t="shared" si="2"/>
        <v>3899029.7666666671</v>
      </c>
      <c r="E18" s="151">
        <f t="shared" si="0"/>
        <v>542120.7333333334</v>
      </c>
      <c r="F18" s="151">
        <f t="shared" si="9"/>
        <v>749120.7333333334</v>
      </c>
      <c r="G18" s="151">
        <f t="shared" si="4"/>
        <v>2607788.3000000003</v>
      </c>
      <c r="H18" s="218">
        <f t="shared" si="5"/>
        <v>1017138.2000000002</v>
      </c>
      <c r="I18" s="151">
        <f t="shared" si="6"/>
        <v>141422.80000000005</v>
      </c>
      <c r="J18" s="151">
        <f t="shared" si="3"/>
        <v>195422.80000000005</v>
      </c>
      <c r="K18" s="151">
        <f t="shared" si="7"/>
        <v>680292.60000000009</v>
      </c>
      <c r="L18" s="1">
        <f>COUNTIFS('План продаж'!$D:$D,Инвестиции!$B18)</f>
        <v>12</v>
      </c>
      <c r="M18" s="58">
        <f t="shared" si="8"/>
        <v>84761.516666666677</v>
      </c>
    </row>
    <row r="19" spans="2:14" x14ac:dyDescent="0.25">
      <c r="B19" s="27">
        <v>2022</v>
      </c>
      <c r="C19" s="128">
        <f>INDEX('План продаж'!$B:$B,MATCH(DATE(B19,12,31),'План продаж'!$E:$E,1),1)</f>
        <v>58</v>
      </c>
      <c r="D19" s="58">
        <f>SUM(E19:G19)</f>
        <v>4916167.9666666668</v>
      </c>
      <c r="E19" s="151">
        <f t="shared" si="0"/>
        <v>683543.53333333333</v>
      </c>
      <c r="F19" s="151">
        <f t="shared" si="9"/>
        <v>944543.53333333333</v>
      </c>
      <c r="G19" s="151">
        <f t="shared" si="4"/>
        <v>3288080.9000000004</v>
      </c>
      <c r="H19" s="218">
        <f t="shared" si="5"/>
        <v>1017138.2</v>
      </c>
      <c r="I19" s="151">
        <f>E19-E18</f>
        <v>141422.79999999993</v>
      </c>
      <c r="J19" s="151">
        <f t="shared" si="3"/>
        <v>195422.79999999993</v>
      </c>
      <c r="K19" s="151">
        <f t="shared" si="7"/>
        <v>680292.60000000009</v>
      </c>
      <c r="L19" s="1">
        <f>COUNTIFS('План продаж'!$D:$D,Инвестиции!$B19)</f>
        <v>12</v>
      </c>
      <c r="M19" s="58">
        <f t="shared" si="8"/>
        <v>84761.516666666663</v>
      </c>
    </row>
    <row r="20" spans="2:14" x14ac:dyDescent="0.25">
      <c r="B20" s="27">
        <v>2023</v>
      </c>
      <c r="C20" s="128">
        <f>INDEX('План продаж'!$B:$B,MATCH(DATE(B20,12,31),'План продаж'!$E:$E,1),1)</f>
        <v>60</v>
      </c>
      <c r="D20" s="58">
        <f>SUM(E20:G20)</f>
        <v>5085691</v>
      </c>
      <c r="E20" s="151">
        <f t="shared" si="0"/>
        <v>707114</v>
      </c>
      <c r="F20" s="151">
        <f t="shared" ref="F20" si="10">($C20-E$9)*E$10</f>
        <v>977114</v>
      </c>
      <c r="G20" s="151">
        <f t="shared" ref="G20" si="11">($C20-F$9)*$F$10</f>
        <v>3401463</v>
      </c>
      <c r="H20" s="218">
        <f t="shared" ref="H20" si="12">SUM(I20:K20)</f>
        <v>169523.03333333298</v>
      </c>
      <c r="I20" s="151">
        <f>E20-E19</f>
        <v>23570.466666666674</v>
      </c>
      <c r="J20" s="151">
        <f t="shared" ref="J20" si="13">F20-F19</f>
        <v>32570.466666666674</v>
      </c>
      <c r="K20" s="151">
        <f t="shared" ref="K20" si="14">G20-G19</f>
        <v>113382.09999999963</v>
      </c>
      <c r="L20" s="1">
        <f>COUNTIFS('План продаж'!$D:$D,Инвестиции!$B20)</f>
        <v>2</v>
      </c>
      <c r="M20" s="58">
        <f t="shared" si="8"/>
        <v>84761.516666666488</v>
      </c>
    </row>
    <row r="21" spans="2:14" ht="21" x14ac:dyDescent="0.35">
      <c r="B21" s="43" t="s">
        <v>104</v>
      </c>
      <c r="G21" s="82"/>
      <c r="H21" s="82"/>
      <c r="I21" s="82"/>
      <c r="J21" s="82"/>
    </row>
    <row r="22" spans="2:14" ht="15.75" thickBot="1" x14ac:dyDescent="0.3">
      <c r="G22" s="82"/>
      <c r="H22" s="82"/>
      <c r="I22" s="82"/>
      <c r="J22" s="82"/>
    </row>
    <row r="23" spans="2:14" ht="16.5" thickTop="1" thickBot="1" x14ac:dyDescent="0.3">
      <c r="B23" s="253" t="s">
        <v>26</v>
      </c>
      <c r="C23" s="253" t="s">
        <v>29</v>
      </c>
      <c r="D23" s="253" t="s">
        <v>33</v>
      </c>
      <c r="E23" s="253" t="s">
        <v>31</v>
      </c>
      <c r="F23" s="253" t="s">
        <v>32</v>
      </c>
      <c r="G23" s="265" t="s">
        <v>358</v>
      </c>
      <c r="H23" s="26" t="s">
        <v>236</v>
      </c>
      <c r="I23" s="26" t="s">
        <v>238</v>
      </c>
      <c r="J23" s="26" t="s">
        <v>239</v>
      </c>
      <c r="K23" s="153" t="s">
        <v>240</v>
      </c>
      <c r="L23" s="153" t="s">
        <v>34</v>
      </c>
      <c r="M23" s="153" t="s">
        <v>76</v>
      </c>
      <c r="N23" s="259" t="s">
        <v>218</v>
      </c>
    </row>
    <row r="24" spans="2:14" ht="16.5" thickTop="1" thickBot="1" x14ac:dyDescent="0.3">
      <c r="B24" s="253"/>
      <c r="C24" s="253"/>
      <c r="D24" s="253"/>
      <c r="E24" s="253"/>
      <c r="F24" s="253"/>
      <c r="G24" s="266"/>
      <c r="H24" s="26" t="s">
        <v>27</v>
      </c>
      <c r="I24" s="26" t="s">
        <v>27</v>
      </c>
      <c r="J24" s="26" t="s">
        <v>27</v>
      </c>
      <c r="K24" s="153" t="s">
        <v>27</v>
      </c>
      <c r="L24" s="153" t="s">
        <v>27</v>
      </c>
      <c r="M24" s="153" t="s">
        <v>47</v>
      </c>
      <c r="N24" s="260"/>
    </row>
    <row r="25" spans="2:14" ht="15.75" thickTop="1" x14ac:dyDescent="0.25">
      <c r="B25" s="67" t="s">
        <v>359</v>
      </c>
      <c r="C25" s="67" t="s">
        <v>341</v>
      </c>
      <c r="D25" s="67"/>
      <c r="E25" s="67">
        <v>1</v>
      </c>
      <c r="F25" s="67">
        <v>47400</v>
      </c>
      <c r="G25" s="219">
        <f>SUM(H25:L25)</f>
        <v>94800</v>
      </c>
      <c r="H25" s="67">
        <v>47400</v>
      </c>
      <c r="I25" s="67">
        <v>47400</v>
      </c>
      <c r="J25" s="67"/>
      <c r="K25" s="67"/>
      <c r="L25" s="67"/>
      <c r="M25" s="1">
        <v>0</v>
      </c>
    </row>
    <row r="26" spans="2:14" x14ac:dyDescent="0.25">
      <c r="B26" s="67" t="s">
        <v>359</v>
      </c>
      <c r="C26" s="67" t="s">
        <v>348</v>
      </c>
      <c r="D26" s="67"/>
      <c r="E26" s="67">
        <v>0</v>
      </c>
      <c r="F26" s="67"/>
      <c r="G26" s="219">
        <f t="shared" ref="G26:G53" si="15">SUM(H26:L26)</f>
        <v>0</v>
      </c>
      <c r="H26" s="67">
        <v>0</v>
      </c>
      <c r="I26" s="67">
        <v>0</v>
      </c>
      <c r="J26" s="67"/>
      <c r="K26" s="67"/>
      <c r="L26" s="67"/>
      <c r="M26" s="1">
        <v>0</v>
      </c>
    </row>
    <row r="27" spans="2:14" x14ac:dyDescent="0.25">
      <c r="B27" s="67" t="s">
        <v>359</v>
      </c>
      <c r="C27" s="67" t="s">
        <v>349</v>
      </c>
      <c r="D27" s="67"/>
      <c r="E27" s="67">
        <v>0</v>
      </c>
      <c r="F27" s="67"/>
      <c r="G27" s="219">
        <f t="shared" si="15"/>
        <v>0</v>
      </c>
      <c r="H27" s="67">
        <v>0</v>
      </c>
      <c r="I27" s="67">
        <v>0</v>
      </c>
      <c r="J27" s="67"/>
      <c r="K27" s="67"/>
      <c r="L27" s="67"/>
      <c r="M27" s="1">
        <v>0</v>
      </c>
    </row>
    <row r="28" spans="2:14" x14ac:dyDescent="0.25">
      <c r="B28" s="67" t="s">
        <v>359</v>
      </c>
      <c r="C28" s="67" t="s">
        <v>342</v>
      </c>
      <c r="D28" s="67"/>
      <c r="E28" s="67">
        <v>1</v>
      </c>
      <c r="F28" s="67">
        <v>7160</v>
      </c>
      <c r="G28" s="219">
        <f t="shared" si="15"/>
        <v>14320</v>
      </c>
      <c r="H28" s="67">
        <v>7160</v>
      </c>
      <c r="I28" s="67">
        <v>7160</v>
      </c>
      <c r="J28" s="67"/>
      <c r="K28" s="67"/>
      <c r="L28" s="67"/>
      <c r="M28" s="1">
        <v>0</v>
      </c>
    </row>
    <row r="29" spans="2:14" x14ac:dyDescent="0.25">
      <c r="B29" s="67" t="s">
        <v>359</v>
      </c>
      <c r="C29" s="67" t="s">
        <v>343</v>
      </c>
      <c r="D29" s="67"/>
      <c r="E29" s="67">
        <v>1</v>
      </c>
      <c r="F29" s="67">
        <v>9020</v>
      </c>
      <c r="G29" s="219">
        <f t="shared" si="15"/>
        <v>18040</v>
      </c>
      <c r="H29" s="67">
        <v>9020</v>
      </c>
      <c r="I29" s="67">
        <v>9020</v>
      </c>
      <c r="J29" s="67"/>
      <c r="K29" s="67"/>
      <c r="L29" s="67"/>
      <c r="M29" s="1">
        <v>0</v>
      </c>
    </row>
    <row r="30" spans="2:14" x14ac:dyDescent="0.25">
      <c r="B30" s="67" t="s">
        <v>359</v>
      </c>
      <c r="C30" s="67" t="s">
        <v>344</v>
      </c>
      <c r="D30" s="67"/>
      <c r="E30" s="67">
        <v>2</v>
      </c>
      <c r="F30" s="67"/>
      <c r="G30" s="219">
        <f t="shared" si="15"/>
        <v>0</v>
      </c>
      <c r="H30" s="67">
        <v>0</v>
      </c>
      <c r="I30" s="67">
        <v>0</v>
      </c>
      <c r="J30" s="67"/>
      <c r="K30" s="67"/>
      <c r="L30" s="67"/>
      <c r="M30" s="1">
        <v>0</v>
      </c>
    </row>
    <row r="31" spans="2:14" x14ac:dyDescent="0.25">
      <c r="B31" s="67" t="s">
        <v>359</v>
      </c>
      <c r="C31" s="67" t="s">
        <v>345</v>
      </c>
      <c r="D31" s="67"/>
      <c r="E31" s="67">
        <v>2</v>
      </c>
      <c r="F31" s="67">
        <v>5485</v>
      </c>
      <c r="G31" s="219">
        <f t="shared" si="15"/>
        <v>21940</v>
      </c>
      <c r="H31" s="67">
        <v>10970</v>
      </c>
      <c r="I31" s="67">
        <v>10970</v>
      </c>
      <c r="J31" s="67"/>
      <c r="K31" s="67"/>
      <c r="L31" s="67"/>
      <c r="M31" s="1">
        <v>0</v>
      </c>
    </row>
    <row r="32" spans="2:14" x14ac:dyDescent="0.25">
      <c r="B32" s="67" t="s">
        <v>359</v>
      </c>
      <c r="C32" s="67" t="s">
        <v>346</v>
      </c>
      <c r="D32" s="67"/>
      <c r="E32" s="67">
        <v>1</v>
      </c>
      <c r="F32" s="67">
        <v>2650</v>
      </c>
      <c r="G32" s="219">
        <f t="shared" si="15"/>
        <v>5300</v>
      </c>
      <c r="H32" s="67">
        <v>2650</v>
      </c>
      <c r="I32" s="67">
        <v>2650</v>
      </c>
      <c r="J32" s="67"/>
      <c r="K32" s="67"/>
      <c r="L32" s="67"/>
      <c r="M32" s="1">
        <v>0</v>
      </c>
    </row>
    <row r="33" spans="2:13" x14ac:dyDescent="0.25">
      <c r="B33" s="67" t="s">
        <v>359</v>
      </c>
      <c r="C33" s="67" t="s">
        <v>347</v>
      </c>
      <c r="D33" s="67"/>
      <c r="E33" s="67">
        <v>2</v>
      </c>
      <c r="F33" s="67">
        <v>1998</v>
      </c>
      <c r="G33" s="219">
        <f t="shared" si="15"/>
        <v>7992</v>
      </c>
      <c r="H33" s="67">
        <v>3996</v>
      </c>
      <c r="I33" s="67">
        <v>3996</v>
      </c>
      <c r="J33" s="67"/>
      <c r="K33" s="67"/>
      <c r="L33" s="67"/>
      <c r="M33" s="1">
        <v>0</v>
      </c>
    </row>
    <row r="34" spans="2:13" x14ac:dyDescent="0.25">
      <c r="B34" s="67" t="s">
        <v>359</v>
      </c>
      <c r="C34" s="67" t="s">
        <v>350</v>
      </c>
      <c r="D34" s="67"/>
      <c r="E34" s="67">
        <v>1</v>
      </c>
      <c r="F34" s="67">
        <v>59900</v>
      </c>
      <c r="G34" s="219">
        <f t="shared" si="15"/>
        <v>119800</v>
      </c>
      <c r="H34" s="67">
        <v>59900</v>
      </c>
      <c r="I34" s="67">
        <v>59900</v>
      </c>
      <c r="J34" s="67"/>
      <c r="K34" s="67"/>
      <c r="L34" s="67"/>
      <c r="M34" s="1">
        <v>0</v>
      </c>
    </row>
    <row r="35" spans="2:13" x14ac:dyDescent="0.25">
      <c r="B35" s="67" t="s">
        <v>359</v>
      </c>
      <c r="C35" s="67" t="s">
        <v>351</v>
      </c>
      <c r="D35" s="67"/>
      <c r="E35" s="67">
        <v>1</v>
      </c>
      <c r="F35" s="67">
        <v>56000</v>
      </c>
      <c r="G35" s="219">
        <f t="shared" si="15"/>
        <v>112000</v>
      </c>
      <c r="H35" s="67">
        <v>56000</v>
      </c>
      <c r="I35" s="67">
        <v>56000</v>
      </c>
      <c r="J35" s="67"/>
      <c r="K35" s="67"/>
      <c r="L35" s="67"/>
      <c r="M35" s="1">
        <v>0</v>
      </c>
    </row>
    <row r="36" spans="2:13" x14ac:dyDescent="0.25">
      <c r="B36" s="67" t="s">
        <v>359</v>
      </c>
      <c r="C36" s="67" t="s">
        <v>352</v>
      </c>
      <c r="D36" s="67"/>
      <c r="E36" s="67">
        <v>1</v>
      </c>
      <c r="F36" s="67">
        <v>5028</v>
      </c>
      <c r="G36" s="219">
        <f t="shared" si="15"/>
        <v>10056</v>
      </c>
      <c r="H36" s="67">
        <v>5028</v>
      </c>
      <c r="I36" s="67">
        <v>5028</v>
      </c>
      <c r="J36" s="67"/>
      <c r="K36" s="67"/>
      <c r="L36" s="67"/>
      <c r="M36" s="1">
        <v>0</v>
      </c>
    </row>
    <row r="37" spans="2:13" x14ac:dyDescent="0.25">
      <c r="B37" s="67" t="s">
        <v>359</v>
      </c>
      <c r="C37" s="67" t="s">
        <v>353</v>
      </c>
      <c r="D37" s="67"/>
      <c r="E37" s="67">
        <v>1</v>
      </c>
      <c r="F37" s="67">
        <v>60000</v>
      </c>
      <c r="G37" s="219">
        <f t="shared" si="15"/>
        <v>120000</v>
      </c>
      <c r="H37" s="67">
        <v>60000</v>
      </c>
      <c r="I37" s="67">
        <v>60000</v>
      </c>
      <c r="J37" s="67"/>
      <c r="K37" s="67"/>
      <c r="L37" s="67"/>
      <c r="M37" s="1">
        <v>0</v>
      </c>
    </row>
    <row r="38" spans="2:13" x14ac:dyDescent="0.25">
      <c r="B38" s="67" t="s">
        <v>359</v>
      </c>
      <c r="C38" s="67" t="s">
        <v>354</v>
      </c>
      <c r="D38" s="67"/>
      <c r="E38" s="67">
        <v>1</v>
      </c>
      <c r="F38" s="67">
        <v>34990</v>
      </c>
      <c r="G38" s="219">
        <f t="shared" si="15"/>
        <v>69980</v>
      </c>
      <c r="H38" s="67">
        <v>34990</v>
      </c>
      <c r="I38" s="67">
        <v>34990</v>
      </c>
      <c r="J38" s="67"/>
      <c r="K38" s="67"/>
      <c r="L38" s="67"/>
      <c r="M38" s="1">
        <v>0</v>
      </c>
    </row>
    <row r="39" spans="2:13" x14ac:dyDescent="0.25">
      <c r="B39" s="67" t="s">
        <v>359</v>
      </c>
      <c r="C39" s="67" t="s">
        <v>355</v>
      </c>
      <c r="D39" s="67"/>
      <c r="E39" s="67">
        <v>1</v>
      </c>
      <c r="F39" s="67">
        <v>150000</v>
      </c>
      <c r="G39" s="219">
        <f t="shared" si="15"/>
        <v>300000</v>
      </c>
      <c r="H39" s="67">
        <v>150000</v>
      </c>
      <c r="I39" s="67">
        <v>150000</v>
      </c>
      <c r="J39" s="67"/>
      <c r="K39" s="67"/>
      <c r="L39" s="67"/>
      <c r="M39" s="1">
        <v>0</v>
      </c>
    </row>
    <row r="40" spans="2:13" x14ac:dyDescent="0.25">
      <c r="B40" s="67" t="s">
        <v>359</v>
      </c>
      <c r="C40" s="67" t="s">
        <v>356</v>
      </c>
      <c r="D40" s="67"/>
      <c r="E40" s="67">
        <v>1</v>
      </c>
      <c r="F40" s="67">
        <v>45000</v>
      </c>
      <c r="G40" s="219">
        <f t="shared" si="15"/>
        <v>90000</v>
      </c>
      <c r="H40" s="67">
        <v>45000</v>
      </c>
      <c r="I40" s="67">
        <v>45000</v>
      </c>
      <c r="J40" s="67"/>
      <c r="K40" s="67"/>
      <c r="L40" s="67"/>
      <c r="M40" s="1">
        <v>0</v>
      </c>
    </row>
    <row r="41" spans="2:13" x14ac:dyDescent="0.25">
      <c r="B41" s="67" t="s">
        <v>359</v>
      </c>
      <c r="C41" s="67" t="s">
        <v>357</v>
      </c>
      <c r="D41" s="67"/>
      <c r="E41" s="67">
        <v>1</v>
      </c>
      <c r="F41" s="67">
        <v>85000</v>
      </c>
      <c r="G41" s="219">
        <f t="shared" si="15"/>
        <v>170000</v>
      </c>
      <c r="H41" s="67">
        <v>85000</v>
      </c>
      <c r="I41" s="67">
        <v>85000</v>
      </c>
      <c r="J41" s="67"/>
      <c r="K41" s="67"/>
      <c r="L41" s="67"/>
      <c r="M41" s="1">
        <v>0</v>
      </c>
    </row>
    <row r="42" spans="2:13" x14ac:dyDescent="0.25">
      <c r="B42" s="67" t="s">
        <v>360</v>
      </c>
      <c r="C42" s="67" t="s">
        <v>361</v>
      </c>
      <c r="D42" s="67"/>
      <c r="E42" s="67">
        <v>1</v>
      </c>
      <c r="F42" s="67">
        <v>1717069</v>
      </c>
      <c r="G42" s="219">
        <f t="shared" si="15"/>
        <v>1717069</v>
      </c>
      <c r="H42" s="67"/>
      <c r="I42" s="67"/>
      <c r="J42" s="67"/>
      <c r="K42" s="67"/>
      <c r="L42" s="67">
        <v>1717069</v>
      </c>
      <c r="M42" s="1">
        <v>0</v>
      </c>
    </row>
    <row r="43" spans="2:13" x14ac:dyDescent="0.25">
      <c r="B43" s="67" t="s">
        <v>360</v>
      </c>
      <c r="C43" s="67" t="s">
        <v>362</v>
      </c>
      <c r="D43" s="67"/>
      <c r="E43" s="67">
        <v>1</v>
      </c>
      <c r="F43" s="67">
        <v>337394</v>
      </c>
      <c r="G43" s="219">
        <f t="shared" si="15"/>
        <v>337394</v>
      </c>
      <c r="H43" s="67"/>
      <c r="I43" s="67"/>
      <c r="J43" s="67"/>
      <c r="K43" s="67"/>
      <c r="L43" s="67">
        <v>337394</v>
      </c>
      <c r="M43" s="1">
        <v>0</v>
      </c>
    </row>
    <row r="44" spans="2:13" x14ac:dyDescent="0.25">
      <c r="B44" s="67" t="s">
        <v>30</v>
      </c>
      <c r="C44" s="129" t="s">
        <v>367</v>
      </c>
      <c r="D44" s="67"/>
      <c r="E44" s="67">
        <v>1</v>
      </c>
      <c r="F44" s="214">
        <v>350000</v>
      </c>
      <c r="G44" s="219">
        <f t="shared" si="15"/>
        <v>350000</v>
      </c>
      <c r="H44" s="215"/>
      <c r="I44" s="67">
        <v>0</v>
      </c>
      <c r="J44" s="67">
        <v>0</v>
      </c>
      <c r="K44" s="67"/>
      <c r="L44" s="67">
        <v>350000</v>
      </c>
      <c r="M44" s="1">
        <v>0</v>
      </c>
    </row>
    <row r="45" spans="2:13" x14ac:dyDescent="0.25">
      <c r="B45" s="67" t="s">
        <v>30</v>
      </c>
      <c r="C45" s="67" t="s">
        <v>368</v>
      </c>
      <c r="D45" s="67"/>
      <c r="E45" s="67">
        <v>1</v>
      </c>
      <c r="F45" s="214">
        <v>1000000</v>
      </c>
      <c r="G45" s="219">
        <f t="shared" si="15"/>
        <v>750000</v>
      </c>
      <c r="H45" s="215"/>
      <c r="I45" s="67">
        <v>250000</v>
      </c>
      <c r="J45" s="67"/>
      <c r="K45" s="67"/>
      <c r="L45" s="67">
        <v>500000</v>
      </c>
      <c r="M45" s="1">
        <v>0</v>
      </c>
    </row>
    <row r="46" spans="2:13" x14ac:dyDescent="0.25">
      <c r="B46" s="67" t="s">
        <v>30</v>
      </c>
      <c r="C46" s="67" t="s">
        <v>369</v>
      </c>
      <c r="D46" s="67"/>
      <c r="E46" s="67">
        <v>1</v>
      </c>
      <c r="F46" s="214">
        <v>150000</v>
      </c>
      <c r="G46" s="219">
        <f t="shared" si="15"/>
        <v>150000</v>
      </c>
      <c r="H46" s="215"/>
      <c r="I46" s="67">
        <v>150000</v>
      </c>
      <c r="J46" s="67">
        <v>0</v>
      </c>
      <c r="K46" s="67"/>
      <c r="L46" s="67"/>
      <c r="M46" s="1">
        <v>0</v>
      </c>
    </row>
    <row r="47" spans="2:13" x14ac:dyDescent="0.25">
      <c r="B47" s="67" t="s">
        <v>30</v>
      </c>
      <c r="C47" s="67" t="s">
        <v>370</v>
      </c>
      <c r="D47" s="67"/>
      <c r="E47" s="67">
        <v>1</v>
      </c>
      <c r="F47" s="214">
        <v>90000</v>
      </c>
      <c r="G47" s="219">
        <f t="shared" si="15"/>
        <v>90000</v>
      </c>
      <c r="H47" s="215">
        <v>90000</v>
      </c>
      <c r="I47" s="67"/>
      <c r="J47" s="67"/>
      <c r="K47" s="67"/>
      <c r="L47" s="67"/>
      <c r="M47" s="1">
        <v>0</v>
      </c>
    </row>
    <row r="48" spans="2:13" x14ac:dyDescent="0.25">
      <c r="B48" s="67" t="s">
        <v>30</v>
      </c>
      <c r="C48" s="67" t="s">
        <v>371</v>
      </c>
      <c r="D48" s="67"/>
      <c r="E48" s="67">
        <v>1</v>
      </c>
      <c r="F48" s="67">
        <v>80000</v>
      </c>
      <c r="G48" s="219">
        <f t="shared" si="15"/>
        <v>80000</v>
      </c>
      <c r="H48" s="67"/>
      <c r="I48" s="67"/>
      <c r="J48" s="67">
        <v>0</v>
      </c>
      <c r="K48" s="67"/>
      <c r="L48" s="67">
        <v>80000</v>
      </c>
      <c r="M48" s="1">
        <v>0</v>
      </c>
    </row>
    <row r="49" spans="2:13" x14ac:dyDescent="0.25">
      <c r="B49" s="67" t="s">
        <v>30</v>
      </c>
      <c r="C49" s="67" t="s">
        <v>372</v>
      </c>
      <c r="D49" s="67"/>
      <c r="E49" s="67">
        <v>1</v>
      </c>
      <c r="F49" s="67">
        <v>40000</v>
      </c>
      <c r="G49" s="219">
        <f t="shared" si="15"/>
        <v>80000</v>
      </c>
      <c r="H49" s="67">
        <v>40000</v>
      </c>
      <c r="I49" s="67"/>
      <c r="J49" s="67"/>
      <c r="K49" s="67"/>
      <c r="L49" s="67">
        <v>40000</v>
      </c>
      <c r="M49" s="1">
        <v>0</v>
      </c>
    </row>
    <row r="50" spans="2:13" x14ac:dyDescent="0.25">
      <c r="B50" s="67" t="s">
        <v>30</v>
      </c>
      <c r="C50" s="67" t="s">
        <v>318</v>
      </c>
      <c r="D50" s="67"/>
      <c r="E50" s="67">
        <v>1</v>
      </c>
      <c r="F50" s="67">
        <v>315000</v>
      </c>
      <c r="G50" s="219">
        <f t="shared" si="15"/>
        <v>315000</v>
      </c>
      <c r="H50" s="67"/>
      <c r="I50" s="67"/>
      <c r="J50" s="67"/>
      <c r="K50" s="67"/>
      <c r="L50" s="67">
        <v>315000</v>
      </c>
      <c r="M50" s="1">
        <v>0</v>
      </c>
    </row>
    <row r="51" spans="2:13" x14ac:dyDescent="0.25">
      <c r="B51" s="67" t="s">
        <v>30</v>
      </c>
      <c r="C51" s="67" t="s">
        <v>397</v>
      </c>
      <c r="D51" s="67"/>
      <c r="E51" s="67"/>
      <c r="F51" s="67">
        <v>90000</v>
      </c>
      <c r="G51" s="219">
        <f t="shared" si="15"/>
        <v>90000</v>
      </c>
      <c r="H51" s="67">
        <f>E51*F52</f>
        <v>0</v>
      </c>
      <c r="I51" s="67">
        <f t="shared" ref="I51:I63" si="16">H51*2</f>
        <v>0</v>
      </c>
      <c r="J51" s="67">
        <f t="shared" ref="J51:J63" si="17">H51</f>
        <v>0</v>
      </c>
      <c r="K51" s="67">
        <v>90000</v>
      </c>
      <c r="L51" s="67"/>
      <c r="M51" s="1">
        <v>0</v>
      </c>
    </row>
    <row r="52" spans="2:13" x14ac:dyDescent="0.25">
      <c r="B52" s="67" t="s">
        <v>30</v>
      </c>
      <c r="C52" s="67" t="s">
        <v>398</v>
      </c>
      <c r="D52" s="67"/>
      <c r="E52" s="67"/>
      <c r="F52" s="67">
        <v>55000</v>
      </c>
      <c r="G52" s="219">
        <f t="shared" si="15"/>
        <v>55000</v>
      </c>
      <c r="H52" s="67">
        <f>E52*F53</f>
        <v>0</v>
      </c>
      <c r="I52" s="67">
        <f t="shared" si="16"/>
        <v>0</v>
      </c>
      <c r="J52" s="67">
        <f t="shared" si="17"/>
        <v>0</v>
      </c>
      <c r="K52" s="67"/>
      <c r="L52" s="67">
        <v>55000</v>
      </c>
      <c r="M52" s="1">
        <v>0</v>
      </c>
    </row>
    <row r="53" spans="2:13" x14ac:dyDescent="0.25">
      <c r="B53" s="67" t="s">
        <v>30</v>
      </c>
      <c r="C53" s="67" t="s">
        <v>399</v>
      </c>
      <c r="D53" s="67"/>
      <c r="E53" s="67"/>
      <c r="F53" s="67">
        <v>7000</v>
      </c>
      <c r="G53" s="219">
        <f t="shared" si="15"/>
        <v>7000</v>
      </c>
      <c r="H53" s="67"/>
      <c r="I53" s="67"/>
      <c r="J53" s="67"/>
      <c r="K53" s="67"/>
      <c r="L53" s="67">
        <v>7000</v>
      </c>
      <c r="M53" s="1">
        <v>0</v>
      </c>
    </row>
    <row r="54" spans="2:13" x14ac:dyDescent="0.25">
      <c r="B54" s="67" t="s">
        <v>30</v>
      </c>
      <c r="C54" s="67"/>
      <c r="D54" s="67"/>
      <c r="E54" s="67"/>
      <c r="F54" s="67"/>
      <c r="G54" s="67"/>
      <c r="H54" s="67">
        <f t="shared" ref="H54:H63" si="18">E54*F54</f>
        <v>0</v>
      </c>
      <c r="I54" s="67">
        <f t="shared" si="16"/>
        <v>0</v>
      </c>
      <c r="J54" s="67">
        <f t="shared" si="17"/>
        <v>0</v>
      </c>
      <c r="K54" s="67"/>
      <c r="L54" s="67"/>
    </row>
    <row r="55" spans="2:13" x14ac:dyDescent="0.25">
      <c r="B55" s="67" t="s">
        <v>30</v>
      </c>
      <c r="C55" s="67"/>
      <c r="D55" s="67"/>
      <c r="E55" s="67"/>
      <c r="F55" s="67"/>
      <c r="G55" s="67"/>
      <c r="H55" s="67">
        <f t="shared" si="18"/>
        <v>0</v>
      </c>
      <c r="I55" s="67">
        <f t="shared" si="16"/>
        <v>0</v>
      </c>
      <c r="J55" s="67">
        <f t="shared" si="17"/>
        <v>0</v>
      </c>
      <c r="K55" s="67"/>
      <c r="L55" s="67"/>
    </row>
    <row r="56" spans="2:13" x14ac:dyDescent="0.25">
      <c r="B56" s="67" t="s">
        <v>30</v>
      </c>
      <c r="C56" s="67"/>
      <c r="D56" s="67"/>
      <c r="E56" s="67"/>
      <c r="F56" s="67"/>
      <c r="G56" s="67"/>
      <c r="H56" s="67">
        <f t="shared" si="18"/>
        <v>0</v>
      </c>
      <c r="I56" s="67">
        <f t="shared" si="16"/>
        <v>0</v>
      </c>
      <c r="J56" s="67">
        <f t="shared" si="17"/>
        <v>0</v>
      </c>
      <c r="K56" s="67"/>
      <c r="L56" s="67"/>
    </row>
    <row r="57" spans="2:13" x14ac:dyDescent="0.25">
      <c r="B57" s="67" t="s">
        <v>30</v>
      </c>
      <c r="C57" s="67"/>
      <c r="D57" s="67"/>
      <c r="E57" s="67"/>
      <c r="F57" s="67"/>
      <c r="G57" s="67"/>
      <c r="H57" s="67">
        <f t="shared" si="18"/>
        <v>0</v>
      </c>
      <c r="I57" s="67">
        <f t="shared" si="16"/>
        <v>0</v>
      </c>
      <c r="J57" s="67">
        <f t="shared" si="17"/>
        <v>0</v>
      </c>
      <c r="K57" s="67"/>
      <c r="L57" s="67"/>
    </row>
    <row r="58" spans="2:13" x14ac:dyDescent="0.25">
      <c r="B58" s="67" t="s">
        <v>30</v>
      </c>
      <c r="C58" s="67"/>
      <c r="D58" s="67"/>
      <c r="E58" s="67"/>
      <c r="F58" s="67"/>
      <c r="G58" s="67"/>
      <c r="H58" s="67">
        <f t="shared" si="18"/>
        <v>0</v>
      </c>
      <c r="I58" s="67">
        <f t="shared" si="16"/>
        <v>0</v>
      </c>
      <c r="J58" s="67">
        <f t="shared" si="17"/>
        <v>0</v>
      </c>
      <c r="K58" s="67"/>
      <c r="L58" s="67"/>
    </row>
    <row r="59" spans="2:13" x14ac:dyDescent="0.25">
      <c r="B59" s="67" t="s">
        <v>30</v>
      </c>
      <c r="C59" s="67"/>
      <c r="D59" s="67"/>
      <c r="E59" s="67"/>
      <c r="F59" s="67"/>
      <c r="G59" s="67"/>
      <c r="H59" s="67">
        <f t="shared" si="18"/>
        <v>0</v>
      </c>
      <c r="I59" s="67">
        <f t="shared" si="16"/>
        <v>0</v>
      </c>
      <c r="J59" s="67">
        <f t="shared" si="17"/>
        <v>0</v>
      </c>
      <c r="K59" s="67"/>
      <c r="L59" s="67"/>
    </row>
    <row r="60" spans="2:13" x14ac:dyDescent="0.25">
      <c r="B60" s="67" t="s">
        <v>30</v>
      </c>
      <c r="C60" s="67"/>
      <c r="D60" s="67"/>
      <c r="E60" s="67"/>
      <c r="F60" s="67"/>
      <c r="G60" s="67"/>
      <c r="H60" s="67">
        <f t="shared" si="18"/>
        <v>0</v>
      </c>
      <c r="I60" s="67">
        <f t="shared" si="16"/>
        <v>0</v>
      </c>
      <c r="J60" s="67">
        <f t="shared" si="17"/>
        <v>0</v>
      </c>
      <c r="K60" s="67"/>
      <c r="L60" s="67"/>
    </row>
    <row r="61" spans="2:13" x14ac:dyDescent="0.25">
      <c r="B61" s="67" t="s">
        <v>30</v>
      </c>
      <c r="C61" s="67"/>
      <c r="D61" s="67"/>
      <c r="E61" s="67"/>
      <c r="F61" s="67"/>
      <c r="G61" s="67"/>
      <c r="H61" s="67">
        <f t="shared" si="18"/>
        <v>0</v>
      </c>
      <c r="I61" s="67">
        <f t="shared" si="16"/>
        <v>0</v>
      </c>
      <c r="J61" s="67">
        <f t="shared" si="17"/>
        <v>0</v>
      </c>
      <c r="K61" s="67"/>
      <c r="L61" s="67"/>
    </row>
    <row r="62" spans="2:13" x14ac:dyDescent="0.25">
      <c r="B62" s="67" t="s">
        <v>30</v>
      </c>
      <c r="C62" s="67"/>
      <c r="D62" s="67"/>
      <c r="E62" s="67"/>
      <c r="F62" s="67"/>
      <c r="G62" s="67"/>
      <c r="H62" s="67">
        <f t="shared" si="18"/>
        <v>0</v>
      </c>
      <c r="I62" s="67">
        <f t="shared" si="16"/>
        <v>0</v>
      </c>
      <c r="J62" s="67">
        <f t="shared" si="17"/>
        <v>0</v>
      </c>
      <c r="K62" s="67"/>
      <c r="L62" s="67"/>
    </row>
    <row r="63" spans="2:13" x14ac:dyDescent="0.25">
      <c r="B63" s="67" t="s">
        <v>30</v>
      </c>
      <c r="C63" s="67"/>
      <c r="D63" s="67"/>
      <c r="E63" s="67"/>
      <c r="F63" s="67"/>
      <c r="G63" s="67"/>
      <c r="H63" s="67">
        <f t="shared" si="18"/>
        <v>0</v>
      </c>
      <c r="I63" s="67">
        <f t="shared" si="16"/>
        <v>0</v>
      </c>
      <c r="J63" s="67">
        <f t="shared" si="17"/>
        <v>0</v>
      </c>
      <c r="K63" s="67"/>
      <c r="L63" s="67"/>
    </row>
  </sheetData>
  <mergeCells count="10">
    <mergeCell ref="N23:N24"/>
    <mergeCell ref="G23:G24"/>
    <mergeCell ref="E12:G12"/>
    <mergeCell ref="H12:K12"/>
    <mergeCell ref="B6:C6"/>
    <mergeCell ref="F23:F24"/>
    <mergeCell ref="E23:E24"/>
    <mergeCell ref="D23:D24"/>
    <mergeCell ref="C23:C24"/>
    <mergeCell ref="B23:B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62FEB33-2DBC-42AE-837D-C05E694B4742}">
          <x14:formula1>
            <xm:f>'График проекта'!$K$13:$K$18</xm:f>
          </x14:formula1>
          <xm:sqref>H23:L23</xm:sqref>
        </x14:dataValidation>
        <x14:dataValidation type="list" allowBlank="1" showInputMessage="1" showErrorMessage="1" xr:uid="{E2A6CD35-4E09-44D6-A438-842FE548E9AF}">
          <x14:formula1>
            <xm:f>'График проекта'!$K$7:$K$11</xm:f>
          </x14:formula1>
          <xm:sqref>D6:G6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R19"/>
  <sheetViews>
    <sheetView showGridLines="0" topLeftCell="A3" workbookViewId="0">
      <selection activeCell="H7" sqref="H7"/>
    </sheetView>
  </sheetViews>
  <sheetFormatPr defaultRowHeight="15.75" customHeight="1" x14ac:dyDescent="0.25"/>
  <cols>
    <col min="1" max="1" width="3" style="1" customWidth="1"/>
    <col min="2" max="2" width="12.140625" style="1" customWidth="1"/>
    <col min="3" max="3" width="16.42578125" style="1" bestFit="1" customWidth="1"/>
    <col min="4" max="4" width="18.7109375" style="1" bestFit="1" customWidth="1"/>
    <col min="5" max="5" width="20.7109375" style="1" bestFit="1" customWidth="1"/>
    <col min="6" max="6" width="18.7109375" style="1" bestFit="1" customWidth="1"/>
    <col min="7" max="7" width="47.140625" style="1" bestFit="1" customWidth="1"/>
    <col min="8" max="8" width="29.140625" style="1" bestFit="1" customWidth="1"/>
    <col min="9" max="10" width="9.140625" style="1"/>
    <col min="11" max="11" width="35.85546875" style="1" bestFit="1" customWidth="1"/>
    <col min="12" max="16384" width="9.140625" style="1"/>
  </cols>
  <sheetData>
    <row r="1" spans="2:18" ht="15.75" customHeight="1" x14ac:dyDescent="0.35">
      <c r="B1" s="43" t="s">
        <v>48</v>
      </c>
    </row>
    <row r="2" spans="2:18" ht="11.25" customHeight="1" x14ac:dyDescent="0.3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5" spans="2:18" ht="15.75" customHeight="1" thickBot="1" x14ac:dyDescent="0.3"/>
    <row r="6" spans="2:18" ht="24" customHeight="1" thickTop="1" thickBot="1" x14ac:dyDescent="0.3">
      <c r="B6" s="25" t="s">
        <v>45</v>
      </c>
      <c r="C6" s="25" t="s">
        <v>49</v>
      </c>
      <c r="D6" s="25" t="s">
        <v>52</v>
      </c>
      <c r="E6" s="25" t="s">
        <v>50</v>
      </c>
      <c r="F6" s="25" t="s">
        <v>51</v>
      </c>
      <c r="G6" s="25" t="s">
        <v>137</v>
      </c>
      <c r="H6" s="25" t="s">
        <v>136</v>
      </c>
      <c r="K6" s="140" t="s">
        <v>114</v>
      </c>
    </row>
    <row r="7" spans="2:18" ht="15.75" customHeight="1" thickTop="1" x14ac:dyDescent="0.25">
      <c r="B7" s="44">
        <v>0</v>
      </c>
      <c r="C7" s="45">
        <f>Настройки!$I$7</f>
        <v>43132</v>
      </c>
      <c r="D7" s="44">
        <v>30</v>
      </c>
      <c r="E7" s="45">
        <f>C7+D7</f>
        <v>43162</v>
      </c>
      <c r="F7" s="44" t="s">
        <v>53</v>
      </c>
      <c r="G7" s="55"/>
      <c r="H7" s="51" t="s">
        <v>364</v>
      </c>
      <c r="K7" s="67" t="s">
        <v>325</v>
      </c>
    </row>
    <row r="8" spans="2:18" ht="20.25" customHeight="1" x14ac:dyDescent="0.25">
      <c r="B8" s="46">
        <f>MATCH(C8,'План продаж'!$E$6:$E$66,1)</f>
        <v>1</v>
      </c>
      <c r="C8" s="49">
        <f>E7</f>
        <v>43162</v>
      </c>
      <c r="D8" s="46">
        <v>30</v>
      </c>
      <c r="E8" s="47">
        <f>C8+D8</f>
        <v>43192</v>
      </c>
      <c r="F8" s="46" t="s">
        <v>53</v>
      </c>
      <c r="G8" s="56"/>
      <c r="H8" s="52" t="s">
        <v>325</v>
      </c>
      <c r="K8" s="67" t="s">
        <v>326</v>
      </c>
    </row>
    <row r="9" spans="2:18" ht="24" customHeight="1" x14ac:dyDescent="0.25">
      <c r="B9" s="46">
        <f>MATCH(C9,'План продаж'!$E$6:$E$66,1)</f>
        <v>1</v>
      </c>
      <c r="C9" s="49">
        <f>E7</f>
        <v>43162</v>
      </c>
      <c r="D9" s="46">
        <v>30</v>
      </c>
      <c r="E9" s="47">
        <f>C9+D9</f>
        <v>43192</v>
      </c>
      <c r="F9" s="46" t="s">
        <v>53</v>
      </c>
      <c r="G9" s="56"/>
      <c r="H9" s="52" t="s">
        <v>326</v>
      </c>
      <c r="K9" s="67" t="s">
        <v>327</v>
      </c>
    </row>
    <row r="10" spans="2:18" ht="24" customHeight="1" x14ac:dyDescent="0.25">
      <c r="B10" s="46">
        <f>MATCH(C10,'План продаж'!$E$6:$E$66,1)</f>
        <v>2</v>
      </c>
      <c r="C10" s="49">
        <f>E9</f>
        <v>43192</v>
      </c>
      <c r="D10" s="46">
        <v>30</v>
      </c>
      <c r="E10" s="47">
        <f>C10+D10</f>
        <v>43222</v>
      </c>
      <c r="F10" s="46" t="s">
        <v>53</v>
      </c>
      <c r="G10" s="56"/>
      <c r="H10" s="52" t="s">
        <v>327</v>
      </c>
      <c r="K10" s="67"/>
    </row>
    <row r="11" spans="2:18" ht="30" customHeight="1" x14ac:dyDescent="0.25">
      <c r="B11" s="46">
        <f>MATCH(C11,'План продаж'!$E$6:$E$66,1)</f>
        <v>2</v>
      </c>
      <c r="C11" s="49">
        <f>E8</f>
        <v>43192</v>
      </c>
      <c r="D11" s="46">
        <f>E11-C11</f>
        <v>1740</v>
      </c>
      <c r="E11" s="47">
        <f>Настройки!I8</f>
        <v>44932</v>
      </c>
      <c r="F11" s="46" t="s">
        <v>54</v>
      </c>
      <c r="G11" s="56"/>
      <c r="H11" s="53" t="s">
        <v>328</v>
      </c>
      <c r="K11" s="67" t="s">
        <v>328</v>
      </c>
    </row>
    <row r="12" spans="2:18" ht="30" customHeight="1" thickBot="1" x14ac:dyDescent="0.3">
      <c r="B12" s="46">
        <f>MATCH(C12,'План продаж'!$E$6:$E$66,1)</f>
        <v>6</v>
      </c>
      <c r="C12" s="49">
        <v>43342</v>
      </c>
      <c r="D12" s="46">
        <v>30</v>
      </c>
      <c r="E12" s="47">
        <f>C12+D12</f>
        <v>43372</v>
      </c>
      <c r="F12" s="46" t="s">
        <v>84</v>
      </c>
      <c r="G12" s="56"/>
      <c r="H12" s="53" t="s">
        <v>327</v>
      </c>
    </row>
    <row r="13" spans="2:18" ht="22.5" customHeight="1" thickTop="1" thickBot="1" x14ac:dyDescent="0.3">
      <c r="B13" s="46">
        <f>MATCH(C13,'План продаж'!$E$6:$E$66,1)</f>
        <v>7</v>
      </c>
      <c r="C13" s="50">
        <f>E12</f>
        <v>43372</v>
      </c>
      <c r="D13" s="48"/>
      <c r="E13" s="101"/>
      <c r="F13" s="48"/>
      <c r="G13" s="57"/>
      <c r="H13" s="54"/>
      <c r="K13" s="150" t="s">
        <v>219</v>
      </c>
    </row>
    <row r="14" spans="2:18" ht="15.75" customHeight="1" thickTop="1" x14ac:dyDescent="0.25">
      <c r="B14" s="46">
        <f>MATCH(C14,'План продаж'!$E$6:$E$66,1)</f>
        <v>8</v>
      </c>
      <c r="C14" s="50">
        <v>43388</v>
      </c>
      <c r="D14" s="48"/>
      <c r="E14" s="48"/>
      <c r="F14" s="48" t="s">
        <v>54</v>
      </c>
      <c r="G14" s="57"/>
      <c r="H14" s="54"/>
      <c r="K14" s="67" t="s">
        <v>236</v>
      </c>
    </row>
    <row r="15" spans="2:18" ht="15.75" customHeight="1" x14ac:dyDescent="0.25">
      <c r="K15" s="67" t="s">
        <v>238</v>
      </c>
    </row>
    <row r="16" spans="2:18" ht="15.75" customHeight="1" x14ac:dyDescent="0.25">
      <c r="K16" s="67" t="s">
        <v>239</v>
      </c>
    </row>
    <row r="17" spans="11:11" ht="15.75" customHeight="1" x14ac:dyDescent="0.25">
      <c r="K17" s="67" t="s">
        <v>240</v>
      </c>
    </row>
    <row r="18" spans="11:11" ht="15.75" customHeight="1" x14ac:dyDescent="0.25">
      <c r="K18" s="67" t="s">
        <v>34</v>
      </c>
    </row>
    <row r="19" spans="11:11" ht="15.75" customHeight="1" x14ac:dyDescent="0.25">
      <c r="K19" s="1" t="s">
        <v>223</v>
      </c>
    </row>
  </sheetData>
  <dataValidations count="1">
    <dataValidation type="list" allowBlank="1" showInputMessage="1" showErrorMessage="1" sqref="H7:H14" xr:uid="{00000000-0002-0000-0C00-000000000000}">
      <formula1>События</formula1>
    </dataValidation>
  </dataValidation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2220-E5DD-4B3F-BDF7-E1DB0F6ECE3B}">
  <sheetPr>
    <tabColor theme="5" tint="0.59999389629810485"/>
  </sheetPr>
  <dimension ref="B1:AK67"/>
  <sheetViews>
    <sheetView topLeftCell="A5" workbookViewId="0">
      <selection activeCell="Z24" sqref="Z24:Z67"/>
    </sheetView>
  </sheetViews>
  <sheetFormatPr defaultRowHeight="15" x14ac:dyDescent="0.25"/>
  <cols>
    <col min="1" max="1" width="9.140625" style="1"/>
    <col min="2" max="2" width="27.28515625" style="1" bestFit="1" customWidth="1"/>
    <col min="3" max="4" width="9.28515625" style="1" bestFit="1" customWidth="1"/>
    <col min="5" max="5" width="10.28515625" style="110" bestFit="1" customWidth="1"/>
    <col min="6" max="6" width="16.5703125" style="1" bestFit="1" customWidth="1"/>
    <col min="7" max="7" width="18.5703125" style="1" customWidth="1"/>
    <col min="8" max="8" width="17.5703125" style="1" customWidth="1"/>
    <col min="9" max="9" width="18.7109375" style="1" customWidth="1"/>
    <col min="10" max="10" width="14.42578125" style="1" customWidth="1"/>
    <col min="11" max="11" width="16.28515625" style="1" customWidth="1"/>
    <col min="12" max="12" width="14.42578125" style="1" customWidth="1"/>
    <col min="13" max="15" width="16.5703125" style="1" customWidth="1"/>
    <col min="16" max="16" width="19" style="1" bestFit="1" customWidth="1"/>
    <col min="17" max="25" width="16.5703125" style="1" customWidth="1"/>
    <col min="26" max="26" width="10.7109375" style="1" bestFit="1" customWidth="1"/>
    <col min="27" max="16384" width="9.140625" style="1"/>
  </cols>
  <sheetData>
    <row r="1" spans="2:37" ht="21" x14ac:dyDescent="0.35">
      <c r="B1" s="43" t="s">
        <v>204</v>
      </c>
    </row>
    <row r="2" spans="2:37" ht="12" customHeight="1" x14ac:dyDescent="0.35">
      <c r="B2" s="95"/>
      <c r="C2" s="95"/>
      <c r="D2" s="95"/>
      <c r="E2" s="121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2:37" ht="12" customHeight="1" x14ac:dyDescent="0.25">
      <c r="E3" s="1"/>
      <c r="P3" s="250" t="s">
        <v>438</v>
      </c>
      <c r="Q3" s="142">
        <v>2</v>
      </c>
      <c r="V3" s="250" t="s">
        <v>439</v>
      </c>
      <c r="W3" s="1" t="s">
        <v>440</v>
      </c>
    </row>
    <row r="4" spans="2:37" ht="12" hidden="1" customHeight="1" x14ac:dyDescent="0.25">
      <c r="B4" s="1" t="s">
        <v>218</v>
      </c>
      <c r="C4" s="1" t="s">
        <v>223</v>
      </c>
      <c r="E4" s="1"/>
    </row>
    <row r="5" spans="2:37" ht="19.5" thickBot="1" x14ac:dyDescent="0.35">
      <c r="P5" s="269" t="s">
        <v>428</v>
      </c>
      <c r="Q5" s="269"/>
      <c r="R5" s="269"/>
      <c r="S5" s="269"/>
      <c r="T5" s="269"/>
      <c r="U5" s="223"/>
      <c r="V5" s="269" t="s">
        <v>434</v>
      </c>
      <c r="W5" s="269"/>
      <c r="X5" s="269"/>
      <c r="Y5" s="269"/>
    </row>
    <row r="6" spans="2:37" ht="29.25" customHeight="1" thickTop="1" thickBot="1" x14ac:dyDescent="0.3">
      <c r="B6" s="222" t="s">
        <v>45</v>
      </c>
      <c r="C6" s="222" t="s">
        <v>7</v>
      </c>
      <c r="D6" s="222" t="s">
        <v>46</v>
      </c>
      <c r="E6" s="144" t="s">
        <v>47</v>
      </c>
      <c r="F6" s="222" t="s">
        <v>167</v>
      </c>
      <c r="G6" s="222" t="s">
        <v>220</v>
      </c>
      <c r="H6" s="222" t="s">
        <v>60</v>
      </c>
      <c r="I6" s="222" t="s">
        <v>179</v>
      </c>
      <c r="J6" s="222" t="s">
        <v>180</v>
      </c>
      <c r="K6" s="222" t="s">
        <v>224</v>
      </c>
      <c r="L6" s="222" t="s">
        <v>329</v>
      </c>
      <c r="M6" s="222" t="s">
        <v>196</v>
      </c>
      <c r="N6" s="222" t="s">
        <v>374</v>
      </c>
      <c r="P6" s="224" t="s">
        <v>429</v>
      </c>
      <c r="Q6" s="224" t="s">
        <v>431</v>
      </c>
      <c r="R6" s="224" t="s">
        <v>432</v>
      </c>
      <c r="S6" s="224" t="s">
        <v>430</v>
      </c>
      <c r="T6" s="224" t="s">
        <v>433</v>
      </c>
      <c r="U6" s="223"/>
      <c r="V6" s="224" t="s">
        <v>435</v>
      </c>
      <c r="W6" s="224" t="s">
        <v>431</v>
      </c>
      <c r="X6" s="224" t="s">
        <v>436</v>
      </c>
      <c r="Y6" s="224" t="s">
        <v>437</v>
      </c>
      <c r="Z6" s="224" t="s">
        <v>441</v>
      </c>
    </row>
    <row r="7" spans="2:37" ht="18.75" customHeight="1" thickTop="1" x14ac:dyDescent="0.25">
      <c r="B7" s="67">
        <v>0</v>
      </c>
      <c r="C7" s="67">
        <f>Настройки!$I$9</f>
        <v>2</v>
      </c>
      <c r="D7" s="67">
        <f t="shared" ref="D7:D67" si="0">YEAR(E7)</f>
        <v>2018</v>
      </c>
      <c r="E7" s="122">
        <f t="shared" ref="E7:E67" si="1">EOMONTH(ДатаНачала,B7)</f>
        <v>43159</v>
      </c>
      <c r="F7" s="67"/>
      <c r="G7" s="67"/>
      <c r="H7" s="67"/>
      <c r="I7" s="67"/>
      <c r="J7" s="67"/>
      <c r="K7" s="67"/>
      <c r="L7" s="67"/>
      <c r="M7" s="67"/>
      <c r="N7" s="67"/>
      <c r="P7" s="67">
        <v>0</v>
      </c>
      <c r="Q7" s="67">
        <f>Инвестиции!$F$50</f>
        <v>315000</v>
      </c>
      <c r="R7" s="67"/>
      <c r="S7" s="67">
        <f>P7+Q7+R7</f>
        <v>315000</v>
      </c>
      <c r="T7" s="67">
        <f>S7</f>
        <v>315000</v>
      </c>
      <c r="U7" s="223"/>
      <c r="V7" s="67">
        <v>0</v>
      </c>
      <c r="W7" s="67">
        <f>Q7</f>
        <v>315000</v>
      </c>
      <c r="X7" s="67">
        <f>W7</f>
        <v>315000</v>
      </c>
      <c r="Y7" s="67">
        <f>V7+W7-X7</f>
        <v>0</v>
      </c>
      <c r="Z7" s="58">
        <f>Y7</f>
        <v>0</v>
      </c>
    </row>
    <row r="8" spans="2:37" x14ac:dyDescent="0.25">
      <c r="B8" s="67">
        <f t="shared" ref="B8:C23" si="2">B7+1</f>
        <v>1</v>
      </c>
      <c r="C8" s="67">
        <f t="shared" si="2"/>
        <v>3</v>
      </c>
      <c r="D8" s="67">
        <f t="shared" si="0"/>
        <v>2018</v>
      </c>
      <c r="E8" s="122">
        <f t="shared" si="1"/>
        <v>43190</v>
      </c>
      <c r="F8" s="67">
        <f>IFERROR(HLOOKUP(IF($C$4="Все","Итого:",$C$4),'План продаж'!$L$5:$P$66,MATCH(Расчёт.ПрибылиВсё!$B8,'План продаж'!$B$5:$B$66,0),0),0)</f>
        <v>1260000</v>
      </c>
      <c r="G8" s="67">
        <f>H8-F8</f>
        <v>-390600.00000000023</v>
      </c>
      <c r="H8" s="67">
        <f>IFERROR(HLOOKUP(IF($C$4="Все","Итого:",$C$4),'План продаж'!$Q$5:$U$66,MATCH(Расчёт.ПрибылиВсё!$B8,'План продаж'!$B$5:$B$66,0),0),0)</f>
        <v>869399.99999999977</v>
      </c>
      <c r="I8" s="67">
        <f>-(HLOOKUP(IF($C$4="Все","Итого:",$C$4),'Расчёт.Постоянные расходы'!$B$5:$I$129,MATCH(Расчёт.ПрибылиВсё!$B8,'Расчёт.Постоянные расходы'!$B$5:$B$130,0),0))</f>
        <v>-560000</v>
      </c>
      <c r="J8" s="67">
        <f>-(HLOOKUP(IF($C$4="Все","Итого:",$C$4),Персонал!$Q$4:$V$129,MATCH(Расчёт.ПрибылиВсё!$B8,Персонал!$O$4:$O$129,0),0))</f>
        <v>-448500</v>
      </c>
      <c r="K8" s="67">
        <f>-SUMIFS(Инвестиции!$M$13:$M$20,Инвестиции!$B$13:$B$20,Расчёт.ПрибылиВсё!$D8)</f>
        <v>-77055.924242424255</v>
      </c>
      <c r="L8" s="67">
        <f>SUM(H8:K8)</f>
        <v>-216155.92424242449</v>
      </c>
      <c r="M8" s="67">
        <f>-IF($C$4="Все",SUMIFS('Заёмные средства'!$P:$P,'Заёмные средства'!$F:$F,Расчёт.ПрибылиВсё!$B8),0)</f>
        <v>-68750</v>
      </c>
      <c r="N8" s="67">
        <f>IF(IF(Персонал!Y5&gt;(-L8*0.15),(-L8*0.15)+Персонал!Y5*0.5,(-L8*0.15)+Персонал!Y5)&gt;0,-F8*0.01,IF(Персонал!Y5&gt;(-L8*0.15),(-L8*0.15)+Персонал!Y5*0.5,(-L8*0.15)+Персонал!Y5))</f>
        <v>-12600</v>
      </c>
      <c r="P8" s="67">
        <f>S7</f>
        <v>315000</v>
      </c>
      <c r="Q8" s="67">
        <f>S8-P8+R8</f>
        <v>101640.00000000023</v>
      </c>
      <c r="R8" s="67">
        <f>-G8</f>
        <v>390600.00000000023</v>
      </c>
      <c r="S8" s="67">
        <f>R8/30*2</f>
        <v>26040.000000000015</v>
      </c>
      <c r="T8" s="67">
        <f>S8-S7</f>
        <v>-288960</v>
      </c>
      <c r="U8" s="223"/>
      <c r="V8" s="67">
        <f>Y7</f>
        <v>0</v>
      </c>
      <c r="W8" s="67">
        <f>Q8</f>
        <v>101640.00000000023</v>
      </c>
      <c r="X8" s="67">
        <f>W8</f>
        <v>101640.00000000023</v>
      </c>
      <c r="Y8" s="67">
        <f>V8+W8-X8</f>
        <v>0</v>
      </c>
      <c r="Z8" s="58">
        <f>Y8-Y7</f>
        <v>0</v>
      </c>
    </row>
    <row r="9" spans="2:37" x14ac:dyDescent="0.25">
      <c r="B9" s="67">
        <f t="shared" si="2"/>
        <v>2</v>
      </c>
      <c r="C9" s="67">
        <f t="shared" si="2"/>
        <v>4</v>
      </c>
      <c r="D9" s="67">
        <f t="shared" si="0"/>
        <v>2018</v>
      </c>
      <c r="E9" s="122">
        <f t="shared" si="1"/>
        <v>43220</v>
      </c>
      <c r="F9" s="67">
        <f>IFERROR(HLOOKUP(IF($C$4="Все","Итого:",$C$4),'План продаж'!$L$5:$P$66,MATCH(Расчёт.ПрибылиВсё!$B9,'План продаж'!$B$5:$B$66,0),0),0)</f>
        <v>1670000</v>
      </c>
      <c r="G9" s="67">
        <f t="shared" ref="G9:G67" si="3">H9-F9</f>
        <v>-538933.33333333372</v>
      </c>
      <c r="H9" s="67">
        <f>IFERROR(HLOOKUP(IF($C$4="Все","Итого:",$C$4),'План продаж'!$Q$5:$U$66,MATCH(Расчёт.ПрибылиВсё!$B9,'План продаж'!$B$5:$B$66,0),0),0)</f>
        <v>1131066.6666666663</v>
      </c>
      <c r="I9" s="67">
        <f>-(HLOOKUP(IF($C$4="Все","Итого:",$C$4),'Расчёт.Постоянные расходы'!$B$5:$I$129,MATCH(Расчёт.ПрибылиВсё!$B9,'Расчёт.Постоянные расходы'!$B$5:$B$130,0),0))</f>
        <v>-560000</v>
      </c>
      <c r="J9" s="67">
        <f>-(HLOOKUP(IF($C$4="Все","Итого:",$C$4),Персонал!$Q$4:$V$129,MATCH(Расчёт.ПрибылиВсё!$B9,Персонал!$O$4:$O$129,0),0))</f>
        <v>-448500</v>
      </c>
      <c r="K9" s="67">
        <f>-SUMIFS(Инвестиции!$M$13:$M$20,Инвестиции!$B$13:$B$20,Расчёт.ПрибылиВсё!$D9)</f>
        <v>-77055.924242424255</v>
      </c>
      <c r="L9" s="67">
        <f t="shared" ref="L9:L67" si="4">SUM(H9:K9)</f>
        <v>45510.742424242024</v>
      </c>
      <c r="M9" s="67">
        <f>-IF($C$4="Все",SUMIFS('Заёмные средства'!$P:$P,'Заёмные средства'!$F:$F,Расчёт.ПрибылиВсё!$B9),0)</f>
        <v>-66840.277777777766</v>
      </c>
      <c r="N9" s="67">
        <f>IF(IF(Персонал!Y6&gt;(-L9*0.15),(-L9*0.15)+Персонал!Y6*0.5,(-L9*0.15)+Персонал!Y6)&gt;0,-F9*0.01,IF(Персонал!Y6&gt;(-L9*0.15),(-L9*0.15)+Персонал!Y6*0.5,(-L9*0.15)+Персонал!Y6))</f>
        <v>-16700</v>
      </c>
      <c r="P9" s="67">
        <f>S8</f>
        <v>26040.000000000015</v>
      </c>
      <c r="Q9" s="67">
        <f>S9-P9+R9</f>
        <v>548822.2222222226</v>
      </c>
      <c r="R9" s="67">
        <f t="shared" ref="R9:R67" si="5">-G9</f>
        <v>538933.33333333372</v>
      </c>
      <c r="S9" s="67">
        <f>R9/30*2</f>
        <v>35928.888888888912</v>
      </c>
      <c r="T9" s="67">
        <f t="shared" ref="T9:T67" si="6">S9-S8</f>
        <v>9888.8888888888978</v>
      </c>
      <c r="U9" s="223"/>
      <c r="V9" s="67">
        <f>Y8</f>
        <v>0</v>
      </c>
      <c r="W9" s="67">
        <f>Q9</f>
        <v>548822.2222222226</v>
      </c>
      <c r="X9" s="67">
        <f>W9</f>
        <v>548822.2222222226</v>
      </c>
      <c r="Y9" s="67">
        <f>V9+W9-X9</f>
        <v>0</v>
      </c>
      <c r="Z9" s="58">
        <f t="shared" ref="Z9:Z67" si="7">Y9-Y8</f>
        <v>0</v>
      </c>
    </row>
    <row r="10" spans="2:37" x14ac:dyDescent="0.25">
      <c r="B10" s="67">
        <f t="shared" si="2"/>
        <v>3</v>
      </c>
      <c r="C10" s="67">
        <f t="shared" si="2"/>
        <v>5</v>
      </c>
      <c r="D10" s="67">
        <f t="shared" si="0"/>
        <v>2018</v>
      </c>
      <c r="E10" s="122">
        <f t="shared" si="1"/>
        <v>43251</v>
      </c>
      <c r="F10" s="67">
        <f>IFERROR(HLOOKUP(IF($C$4="Все","Итого:",$C$4),'План продаж'!$L$5:$P$66,MATCH(Расчёт.ПрибылиВсё!$B10,'План продаж'!$B$5:$B$66,0),0),0)</f>
        <v>1252500</v>
      </c>
      <c r="G10" s="67">
        <f t="shared" si="3"/>
        <v>-404200.00000000012</v>
      </c>
      <c r="H10" s="67">
        <f>IFERROR(HLOOKUP(IF($C$4="Все","Итого:",$C$4),'План продаж'!$Q$5:$U$66,MATCH(Расчёт.ПрибылиВсё!$B10,'План продаж'!$B$5:$B$66,0),0),0)</f>
        <v>848299.99999999988</v>
      </c>
      <c r="I10" s="67">
        <f>-(HLOOKUP(IF($C$4="Все","Итого:",$C$4),'Расчёт.Постоянные расходы'!$B$5:$I$129,MATCH(Расчёт.ПрибылиВсё!$B10,'Расчёт.Постоянные расходы'!$B$5:$B$130,0),0))</f>
        <v>-560000</v>
      </c>
      <c r="J10" s="67">
        <f>-(HLOOKUP(IF($C$4="Все","Итого:",$C$4),Персонал!$Q$4:$V$129,MATCH(Расчёт.ПрибылиВсё!$B10,Персонал!$O$4:$O$129,0),0))</f>
        <v>-448500</v>
      </c>
      <c r="K10" s="67">
        <f>-SUMIFS(Инвестиции!$M$13:$M$20,Инвестиции!$B$13:$B$20,Расчёт.ПрибылиВсё!$D10)</f>
        <v>-77055.924242424255</v>
      </c>
      <c r="L10" s="67">
        <f t="shared" si="4"/>
        <v>-237255.92424242437</v>
      </c>
      <c r="M10" s="67">
        <f>-IF($C$4="Все",SUMIFS('Заёмные средства'!$P:$P,'Заёмные средства'!$F:$F,Расчёт.ПрибылиВсё!$B10),0)</f>
        <v>-64930.555555555547</v>
      </c>
      <c r="N10" s="67">
        <f>IF(IF(Персонал!Y7&gt;(-L10*0.15),(-L10*0.15)+Персонал!Y7*0.5,(-L10*0.15)+Персонал!Y7)&gt;0,-F10*0.01,IF(Персонал!Y7&gt;(-L10*0.15),(-L10*0.15)+Персонал!Y7*0.5,(-L10*0.15)+Персонал!Y7))</f>
        <v>-12525</v>
      </c>
      <c r="P10" s="67">
        <f t="shared" ref="P10:P67" si="8">S9</f>
        <v>35928.888888888912</v>
      </c>
      <c r="Q10" s="67">
        <f t="shared" ref="Q10:Q67" si="9">S10-P10+R10</f>
        <v>395217.77777777787</v>
      </c>
      <c r="R10" s="67">
        <f t="shared" si="5"/>
        <v>404200.00000000012</v>
      </c>
      <c r="S10" s="67">
        <f t="shared" ref="S10:S67" si="10">R10/30*2</f>
        <v>26946.666666666675</v>
      </c>
      <c r="T10" s="67">
        <f t="shared" si="6"/>
        <v>-8982.2222222222372</v>
      </c>
      <c r="U10" s="223"/>
      <c r="V10" s="67">
        <f>Y9</f>
        <v>0</v>
      </c>
      <c r="W10" s="67">
        <f>Q10</f>
        <v>395217.77777777787</v>
      </c>
      <c r="X10" s="67">
        <f>V10+W10-Y10</f>
        <v>131739.25925925927</v>
      </c>
      <c r="Y10" s="67">
        <f>W10/30*20</f>
        <v>263478.5185185186</v>
      </c>
      <c r="Z10" s="58">
        <f t="shared" si="7"/>
        <v>263478.5185185186</v>
      </c>
    </row>
    <row r="11" spans="2:37" x14ac:dyDescent="0.25">
      <c r="B11" s="67">
        <f t="shared" si="2"/>
        <v>4</v>
      </c>
      <c r="C11" s="67">
        <f t="shared" si="2"/>
        <v>6</v>
      </c>
      <c r="D11" s="67">
        <f t="shared" si="0"/>
        <v>2018</v>
      </c>
      <c r="E11" s="122">
        <f t="shared" si="1"/>
        <v>43281</v>
      </c>
      <c r="F11" s="67">
        <f>IFERROR(HLOOKUP(IF($C$4="Все","Итого:",$C$4),'План продаж'!$L$5:$P$66,MATCH(Расчёт.ПрибылиВсё!$B11,'План продаж'!$B$5:$B$66,0),0),0)</f>
        <v>1252500</v>
      </c>
      <c r="G11" s="67">
        <f t="shared" si="3"/>
        <v>-404200.00000000012</v>
      </c>
      <c r="H11" s="67">
        <f>IFERROR(HLOOKUP(IF($C$4="Все","Итого:",$C$4),'План продаж'!$Q$5:$U$66,MATCH(Расчёт.ПрибылиВсё!$B11,'План продаж'!$B$5:$B$66,0),0),0)</f>
        <v>848299.99999999988</v>
      </c>
      <c r="I11" s="67">
        <f>-(HLOOKUP(IF($C$4="Все","Итого:",$C$4),'Расчёт.Постоянные расходы'!$B$5:$I$129,MATCH(Расчёт.ПрибылиВсё!$B11,'Расчёт.Постоянные расходы'!$B$5:$B$130,0),0))</f>
        <v>-560000</v>
      </c>
      <c r="J11" s="67">
        <f>-(HLOOKUP(IF($C$4="Все","Итого:",$C$4),Персонал!$Q$4:$V$129,MATCH(Расчёт.ПрибылиВсё!$B11,Персонал!$O$4:$O$129,0),0))</f>
        <v>-448500</v>
      </c>
      <c r="K11" s="67">
        <f>-SUMIFS(Инвестиции!$M$13:$M$20,Инвестиции!$B$13:$B$20,Расчёт.ПрибылиВсё!$D11)</f>
        <v>-77055.924242424255</v>
      </c>
      <c r="L11" s="67">
        <f t="shared" si="4"/>
        <v>-237255.92424242437</v>
      </c>
      <c r="M11" s="67">
        <f>-IF($C$4="Все",SUMIFS('Заёмные средства'!$P:$P,'Заёмные средства'!$F:$F,Расчёт.ПрибылиВсё!$B11),0)</f>
        <v>-63020.833333333321</v>
      </c>
      <c r="N11" s="67">
        <f>IF(IF(Персонал!Y8&gt;(-L11*0.15),(-L11*0.15)+Персонал!Y8*0.5,(-L11*0.15)+Персонал!Y8)&gt;0,-F11*0.01,IF(Персонал!Y8&gt;(-L11*0.15),(-L11*0.15)+Персонал!Y8*0.5,(-L11*0.15)+Персонал!Y8))</f>
        <v>-12525</v>
      </c>
      <c r="P11" s="67">
        <f t="shared" si="8"/>
        <v>26946.666666666675</v>
      </c>
      <c r="Q11" s="67">
        <f t="shared" si="9"/>
        <v>404200.00000000012</v>
      </c>
      <c r="R11" s="67">
        <f t="shared" si="5"/>
        <v>404200.00000000012</v>
      </c>
      <c r="S11" s="67">
        <f t="shared" si="10"/>
        <v>26946.666666666675</v>
      </c>
      <c r="T11" s="67">
        <f t="shared" si="6"/>
        <v>0</v>
      </c>
      <c r="U11" s="223"/>
      <c r="V11" s="67">
        <f t="shared" ref="V11:V67" si="11">Y10</f>
        <v>263478.5185185186</v>
      </c>
      <c r="W11" s="67">
        <f t="shared" ref="W11:W67" si="12">Q11</f>
        <v>404200.00000000012</v>
      </c>
      <c r="X11" s="67">
        <f t="shared" ref="X11:X18" si="13">V11+W11-Y11</f>
        <v>398211.85185185191</v>
      </c>
      <c r="Y11" s="67">
        <f t="shared" ref="Y11:Y18" si="14">W11/30*20</f>
        <v>269466.66666666674</v>
      </c>
      <c r="Z11" s="58">
        <f t="shared" si="7"/>
        <v>5988.148148148146</v>
      </c>
    </row>
    <row r="12" spans="2:37" x14ac:dyDescent="0.25">
      <c r="B12" s="67">
        <f t="shared" si="2"/>
        <v>5</v>
      </c>
      <c r="C12" s="67">
        <f t="shared" ref="C12:C67" si="15">IF(C11=12,1,C11+1)</f>
        <v>7</v>
      </c>
      <c r="D12" s="67">
        <f t="shared" si="0"/>
        <v>2018</v>
      </c>
      <c r="E12" s="122">
        <f t="shared" si="1"/>
        <v>43312</v>
      </c>
      <c r="F12" s="67">
        <f>IFERROR(HLOOKUP(IF($C$4="Все","Итого:",$C$4),'План продаж'!$L$5:$P$66,MATCH(Расчёт.ПрибылиВсё!$B12,'План продаж'!$B$5:$B$66,0),0),0)</f>
        <v>2010000</v>
      </c>
      <c r="G12" s="67">
        <f t="shared" si="3"/>
        <v>-743225.00000000023</v>
      </c>
      <c r="H12" s="67">
        <f>IFERROR(HLOOKUP(IF($C$4="Все","Итого:",$C$4),'План продаж'!$Q$5:$U$66,MATCH(Расчёт.ПрибылиВсё!$B12,'План продаж'!$B$5:$B$66,0),0),0)</f>
        <v>1266774.9999999998</v>
      </c>
      <c r="I12" s="67">
        <f>-(HLOOKUP(IF($C$4="Все","Итого:",$C$4),'Расчёт.Постоянные расходы'!$B$5:$I$129,MATCH(Расчёт.ПрибылиВсё!$B12,'Расчёт.Постоянные расходы'!$B$5:$B$130,0),0))</f>
        <v>-560000</v>
      </c>
      <c r="J12" s="67">
        <f>-(HLOOKUP(IF($C$4="Все","Итого:",$C$4),Персонал!$Q$4:$V$129,MATCH(Расчёт.ПрибылиВсё!$B12,Персонал!$O$4:$O$129,0),0))</f>
        <v>-526500</v>
      </c>
      <c r="K12" s="67">
        <f>-SUMIFS(Инвестиции!$M$13:$M$20,Инвестиции!$B$13:$B$20,Расчёт.ПрибылиВсё!$D12)</f>
        <v>-77055.924242424255</v>
      </c>
      <c r="L12" s="67">
        <f t="shared" si="4"/>
        <v>103219.07575757551</v>
      </c>
      <c r="M12" s="67">
        <f>-IF($C$4="Все",SUMIFS('Заёмные средства'!$P:$P,'Заёмные средства'!$F:$F,Расчёт.ПрибылиВсё!$B12),0)</f>
        <v>-61111.111111111095</v>
      </c>
      <c r="N12" s="67">
        <f>IF(IF(Персонал!Y9&gt;(-L12*0.15),(-L12*0.15)+Персонал!Y9*0.5,(-L12*0.15)+Персонал!Y9)&gt;0,-F12*0.01,IF(Персонал!Y9&gt;(-L12*0.15),(-L12*0.15)+Персонал!Y9*0.5,(-L12*0.15)+Персонал!Y9))</f>
        <v>-20100</v>
      </c>
      <c r="P12" s="67">
        <f t="shared" si="8"/>
        <v>26946.666666666675</v>
      </c>
      <c r="Q12" s="67">
        <f t="shared" si="9"/>
        <v>765826.66666666686</v>
      </c>
      <c r="R12" s="67">
        <f t="shared" si="5"/>
        <v>743225.00000000023</v>
      </c>
      <c r="S12" s="67">
        <f t="shared" si="10"/>
        <v>49548.33333333335</v>
      </c>
      <c r="T12" s="67">
        <f t="shared" si="6"/>
        <v>22601.666666666675</v>
      </c>
      <c r="U12" s="223"/>
      <c r="V12" s="67">
        <f t="shared" si="11"/>
        <v>269466.66666666674</v>
      </c>
      <c r="W12" s="67">
        <f t="shared" si="12"/>
        <v>765826.66666666686</v>
      </c>
      <c r="X12" s="67">
        <f t="shared" si="13"/>
        <v>524742.22222222236</v>
      </c>
      <c r="Y12" s="67">
        <f t="shared" si="14"/>
        <v>510551.11111111124</v>
      </c>
      <c r="Z12" s="58">
        <f t="shared" si="7"/>
        <v>241084.4444444445</v>
      </c>
    </row>
    <row r="13" spans="2:37" x14ac:dyDescent="0.25">
      <c r="B13" s="67">
        <f t="shared" si="2"/>
        <v>6</v>
      </c>
      <c r="C13" s="67">
        <f t="shared" si="15"/>
        <v>8</v>
      </c>
      <c r="D13" s="67">
        <f t="shared" si="0"/>
        <v>2018</v>
      </c>
      <c r="E13" s="122">
        <f t="shared" si="1"/>
        <v>43343</v>
      </c>
      <c r="F13" s="67">
        <f>IFERROR(HLOOKUP(IF($C$4="Все","Итого:",$C$4),'План продаж'!$L$5:$P$66,MATCH(Расчёт.ПрибылиВсё!$B13,'План продаж'!$B$5:$B$66,0),0),0)</f>
        <v>2010000</v>
      </c>
      <c r="G13" s="67">
        <f t="shared" si="3"/>
        <v>-743225.00000000023</v>
      </c>
      <c r="H13" s="67">
        <f>IFERROR(HLOOKUP(IF($C$4="Все","Итого:",$C$4),'План продаж'!$Q$5:$U$66,MATCH(Расчёт.ПрибылиВсё!$B13,'План продаж'!$B$5:$B$66,0),0),0)</f>
        <v>1266774.9999999998</v>
      </c>
      <c r="I13" s="67">
        <f>-(HLOOKUP(IF($C$4="Все","Итого:",$C$4),'Расчёт.Постоянные расходы'!$B$5:$I$129,MATCH(Расчёт.ПрибылиВсё!$B13,'Расчёт.Постоянные расходы'!$B$5:$B$130,0),0))</f>
        <v>-560000</v>
      </c>
      <c r="J13" s="67">
        <f>-(HLOOKUP(IF($C$4="Все","Итого:",$C$4),Персонал!$Q$4:$V$129,MATCH(Расчёт.ПрибылиВсё!$B13,Персонал!$O$4:$O$129,0),0))</f>
        <v>-526500</v>
      </c>
      <c r="K13" s="67">
        <f>-SUMIFS(Инвестиции!$M$13:$M$20,Инвестиции!$B$13:$B$20,Расчёт.ПрибылиВсё!$D13)</f>
        <v>-77055.924242424255</v>
      </c>
      <c r="L13" s="67">
        <f t="shared" si="4"/>
        <v>103219.07575757551</v>
      </c>
      <c r="M13" s="67">
        <f>-IF($C$4="Все",SUMIFS('Заёмные средства'!$P:$P,'Заёмные средства'!$F:$F,Расчёт.ПрибылиВсё!$B13),0)</f>
        <v>-59201.388888888869</v>
      </c>
      <c r="N13" s="67">
        <f>IF(IF(Персонал!Y10&gt;(-L13*0.15),(-L13*0.15)+Персонал!Y10*0.5,(-L13*0.15)+Персонал!Y10)&gt;0,-F13*0.01,IF(Персонал!Y10&gt;(-L13*0.15),(-L13*0.15)+Персонал!Y10*0.5,(-L13*0.15)+Персонал!Y10))</f>
        <v>-20100</v>
      </c>
      <c r="P13" s="67">
        <f t="shared" si="8"/>
        <v>49548.33333333335</v>
      </c>
      <c r="Q13" s="67">
        <f t="shared" si="9"/>
        <v>743225.00000000023</v>
      </c>
      <c r="R13" s="67">
        <f t="shared" si="5"/>
        <v>743225.00000000023</v>
      </c>
      <c r="S13" s="67">
        <f>R13/30*2</f>
        <v>49548.33333333335</v>
      </c>
      <c r="T13" s="67">
        <f t="shared" si="6"/>
        <v>0</v>
      </c>
      <c r="U13" s="223"/>
      <c r="V13" s="67">
        <f t="shared" si="11"/>
        <v>510551.11111111124</v>
      </c>
      <c r="W13" s="67">
        <f t="shared" si="12"/>
        <v>743225.00000000023</v>
      </c>
      <c r="X13" s="67">
        <f t="shared" si="13"/>
        <v>758292.77777777798</v>
      </c>
      <c r="Y13" s="67">
        <f t="shared" si="14"/>
        <v>495483.33333333349</v>
      </c>
      <c r="Z13" s="58">
        <f t="shared" si="7"/>
        <v>-15067.777777777752</v>
      </c>
    </row>
    <row r="14" spans="2:37" x14ac:dyDescent="0.25">
      <c r="B14" s="67">
        <f t="shared" si="2"/>
        <v>7</v>
      </c>
      <c r="C14" s="67">
        <f t="shared" si="15"/>
        <v>9</v>
      </c>
      <c r="D14" s="67">
        <f t="shared" si="0"/>
        <v>2018</v>
      </c>
      <c r="E14" s="122">
        <f t="shared" si="1"/>
        <v>43373</v>
      </c>
      <c r="F14" s="67">
        <f>IFERROR(HLOOKUP(IF($C$4="Все","Итого:",$C$4),'План продаж'!$L$5:$P$66,MATCH(Расчёт.ПрибылиВсё!$B14,'План продаж'!$B$5:$B$66,0),0),0)</f>
        <v>2010000</v>
      </c>
      <c r="G14" s="67">
        <f t="shared" si="3"/>
        <v>-743225.00000000023</v>
      </c>
      <c r="H14" s="67">
        <f>IFERROR(HLOOKUP(IF($C$4="Все","Итого:",$C$4),'План продаж'!$Q$5:$U$66,MATCH(Расчёт.ПрибылиВсё!$B14,'План продаж'!$B$5:$B$66,0),0),0)</f>
        <v>1266774.9999999998</v>
      </c>
      <c r="I14" s="67">
        <f>-(HLOOKUP(IF($C$4="Все","Итого:",$C$4),'Расчёт.Постоянные расходы'!$B$5:$I$129,MATCH(Расчёт.ПрибылиВсё!$B14,'Расчёт.Постоянные расходы'!$B$5:$B$130,0),0))</f>
        <v>-560000</v>
      </c>
      <c r="J14" s="67">
        <f>-(HLOOKUP(IF($C$4="Все","Итого:",$C$4),Персонал!$Q$4:$V$129,MATCH(Расчёт.ПрибылиВсё!$B14,Персонал!$O$4:$O$129,0),0))</f>
        <v>-526500</v>
      </c>
      <c r="K14" s="67">
        <f>-SUMIFS(Инвестиции!$M$13:$M$20,Инвестиции!$B$13:$B$20,Расчёт.ПрибылиВсё!$D14)</f>
        <v>-77055.924242424255</v>
      </c>
      <c r="L14" s="67">
        <f t="shared" si="4"/>
        <v>103219.07575757551</v>
      </c>
      <c r="M14" s="67">
        <f>-IF($C$4="Все",SUMIFS('Заёмные средства'!$P:$P,'Заёмные средства'!$F:$F,Расчёт.ПрибылиВсё!$B14),0)</f>
        <v>-57291.66666666665</v>
      </c>
      <c r="N14" s="67">
        <f>IF(IF(Персонал!Y11&gt;(-L14*0.15),(-L14*0.15)+Персонал!Y11*0.5,(-L14*0.15)+Персонал!Y11)&gt;0,-F14*0.01,IF(Персонал!Y11&gt;(-L14*0.15),(-L14*0.15)+Персонал!Y11*0.5,(-L14*0.15)+Персонал!Y11))</f>
        <v>-20100</v>
      </c>
      <c r="P14" s="67">
        <f t="shared" si="8"/>
        <v>49548.33333333335</v>
      </c>
      <c r="Q14" s="67">
        <f t="shared" si="9"/>
        <v>743225.00000000023</v>
      </c>
      <c r="R14" s="67">
        <f t="shared" si="5"/>
        <v>743225.00000000023</v>
      </c>
      <c r="S14" s="67">
        <f t="shared" si="10"/>
        <v>49548.33333333335</v>
      </c>
      <c r="T14" s="67">
        <f t="shared" si="6"/>
        <v>0</v>
      </c>
      <c r="U14" s="223"/>
      <c r="V14" s="67">
        <f t="shared" si="11"/>
        <v>495483.33333333349</v>
      </c>
      <c r="W14" s="67">
        <f t="shared" si="12"/>
        <v>743225.00000000023</v>
      </c>
      <c r="X14" s="67">
        <f t="shared" si="13"/>
        <v>743225.00000000023</v>
      </c>
      <c r="Y14" s="67">
        <f t="shared" si="14"/>
        <v>495483.33333333349</v>
      </c>
      <c r="Z14" s="58">
        <f t="shared" si="7"/>
        <v>0</v>
      </c>
    </row>
    <row r="15" spans="2:37" x14ac:dyDescent="0.25">
      <c r="B15" s="67">
        <f t="shared" si="2"/>
        <v>8</v>
      </c>
      <c r="C15" s="67">
        <f t="shared" si="15"/>
        <v>10</v>
      </c>
      <c r="D15" s="67">
        <f t="shared" si="0"/>
        <v>2018</v>
      </c>
      <c r="E15" s="122">
        <f t="shared" si="1"/>
        <v>43404</v>
      </c>
      <c r="F15" s="67">
        <f>IFERROR(HLOOKUP(IF($C$4="Все","Итого:",$C$4),'План продаж'!$L$5:$P$66,MATCH(Расчёт.ПрибылиВсё!$B15,'План продаж'!$B$5:$B$66,0),0),0)</f>
        <v>2680000</v>
      </c>
      <c r="G15" s="67">
        <f t="shared" si="3"/>
        <v>-990966.66666666698</v>
      </c>
      <c r="H15" s="67">
        <f>IFERROR(HLOOKUP(IF($C$4="Все","Итого:",$C$4),'План продаж'!$Q$5:$U$66,MATCH(Расчёт.ПрибылиВсё!$B15,'План продаж'!$B$5:$B$66,0),0),0)</f>
        <v>1689033.333333333</v>
      </c>
      <c r="I15" s="67">
        <f>-(HLOOKUP(IF($C$4="Все","Итого:",$C$4),'Расчёт.Постоянные расходы'!$B$5:$I$129,MATCH(Расчёт.ПрибылиВсё!$B15,'Расчёт.Постоянные расходы'!$B$5:$B$130,0),0))</f>
        <v>-560000</v>
      </c>
      <c r="J15" s="67">
        <f>-(HLOOKUP(IF($C$4="Все","Итого:",$C$4),Персонал!$Q$4:$V$129,MATCH(Расчёт.ПрибылиВсё!$B15,Персонал!$O$4:$O$129,0),0))</f>
        <v>-526500</v>
      </c>
      <c r="K15" s="67">
        <f>-SUMIFS(Инвестиции!$M$13:$M$20,Инвестиции!$B$13:$B$20,Расчёт.ПрибылиВсё!$D15)</f>
        <v>-77055.924242424255</v>
      </c>
      <c r="L15" s="67">
        <f t="shared" si="4"/>
        <v>525477.40909090871</v>
      </c>
      <c r="M15" s="67">
        <f>-IF($C$4="Все",SUMIFS('Заёмные средства'!$P:$P,'Заёмные средства'!$F:$F,Расчёт.ПрибылиВсё!$B15),0)</f>
        <v>-55381.944444444423</v>
      </c>
      <c r="N15" s="67">
        <f>IF(IF(Персонал!Y12&gt;(-L15*0.15),(-L15*0.15)+Персонал!Y12*0.5,(-L15*0.15)+Персонал!Y12)&gt;0,-F15*0.01,IF(Персонал!Y12&gt;(-L15*0.15),(-L15*0.15)+Персонал!Y12*0.5,(-L15*0.15)+Персонал!Y12))</f>
        <v>-18071.611363636301</v>
      </c>
      <c r="P15" s="67">
        <f t="shared" si="8"/>
        <v>49548.33333333335</v>
      </c>
      <c r="Q15" s="67">
        <f t="shared" si="9"/>
        <v>1007482.7777777781</v>
      </c>
      <c r="R15" s="67">
        <f t="shared" si="5"/>
        <v>990966.66666666698</v>
      </c>
      <c r="S15" s="67">
        <f t="shared" si="10"/>
        <v>66064.444444444467</v>
      </c>
      <c r="T15" s="67">
        <f t="shared" si="6"/>
        <v>16516.111111111117</v>
      </c>
      <c r="U15" s="223"/>
      <c r="V15" s="67">
        <f t="shared" si="11"/>
        <v>495483.33333333349</v>
      </c>
      <c r="W15" s="67">
        <f t="shared" si="12"/>
        <v>1007482.7777777781</v>
      </c>
      <c r="X15" s="67">
        <f t="shared" si="13"/>
        <v>831310.92592592607</v>
      </c>
      <c r="Y15" s="67">
        <f t="shared" si="14"/>
        <v>671655.1851851854</v>
      </c>
      <c r="Z15" s="58">
        <f t="shared" si="7"/>
        <v>176171.85185185191</v>
      </c>
    </row>
    <row r="16" spans="2:37" x14ac:dyDescent="0.25">
      <c r="B16" s="67">
        <f t="shared" si="2"/>
        <v>9</v>
      </c>
      <c r="C16" s="67">
        <f t="shared" si="15"/>
        <v>11</v>
      </c>
      <c r="D16" s="67">
        <f t="shared" si="0"/>
        <v>2018</v>
      </c>
      <c r="E16" s="122">
        <f t="shared" si="1"/>
        <v>43434</v>
      </c>
      <c r="F16" s="67">
        <f>IFERROR(HLOOKUP(IF($C$4="Все","Итого:",$C$4),'План продаж'!$L$5:$P$66,MATCH(Расчёт.ПрибылиВсё!$B16,'План продаж'!$B$5:$B$66,0),0),0)</f>
        <v>2680000</v>
      </c>
      <c r="G16" s="67">
        <f t="shared" si="3"/>
        <v>-990966.66666666698</v>
      </c>
      <c r="H16" s="67">
        <f>IFERROR(HLOOKUP(IF($C$4="Все","Итого:",$C$4),'План продаж'!$Q$5:$U$66,MATCH(Расчёт.ПрибылиВсё!$B16,'План продаж'!$B$5:$B$66,0),0),0)</f>
        <v>1689033.333333333</v>
      </c>
      <c r="I16" s="67">
        <f>-(HLOOKUP(IF($C$4="Все","Итого:",$C$4),'Расчёт.Постоянные расходы'!$B$5:$I$129,MATCH(Расчёт.ПрибылиВсё!$B16,'Расчёт.Постоянные расходы'!$B$5:$B$130,0),0))</f>
        <v>-560000</v>
      </c>
      <c r="J16" s="67">
        <f>-(HLOOKUP(IF($C$4="Все","Итого:",$C$4),Персонал!$Q$4:$V$129,MATCH(Расчёт.ПрибылиВсё!$B16,Персонал!$O$4:$O$129,0),0))</f>
        <v>-604500</v>
      </c>
      <c r="K16" s="67">
        <f>-SUMIFS(Инвестиции!$M$13:$M$20,Инвестиции!$B$13:$B$20,Расчёт.ПрибылиВсё!$D16)</f>
        <v>-77055.924242424255</v>
      </c>
      <c r="L16" s="67">
        <f t="shared" si="4"/>
        <v>447477.40909090877</v>
      </c>
      <c r="M16" s="67">
        <f>-IF($C$4="Все",SUMIFS('Заёмные средства'!$P:$P,'Заёмные средства'!$F:$F,Расчёт.ПрибылиВсё!$B16),0)</f>
        <v>-53472.222222222197</v>
      </c>
      <c r="N16" s="67">
        <f>IF(IF(Персонал!Y13&gt;(-L16*0.15),(-L16*0.15)+Персонал!Y13*0.5,(-L16*0.15)+Персонал!Y13)&gt;0,-F16*0.01,IF(Персонал!Y13&gt;(-L16*0.15),(-L16*0.15)+Персонал!Y13*0.5,(-L16*0.15)+Персонал!Y13))</f>
        <v>-6371.6113636363152</v>
      </c>
      <c r="P16" s="67">
        <f t="shared" si="8"/>
        <v>66064.444444444467</v>
      </c>
      <c r="Q16" s="67">
        <f t="shared" si="9"/>
        <v>990966.66666666698</v>
      </c>
      <c r="R16" s="67">
        <f t="shared" si="5"/>
        <v>990966.66666666698</v>
      </c>
      <c r="S16" s="67">
        <f t="shared" si="10"/>
        <v>66064.444444444467</v>
      </c>
      <c r="T16" s="67">
        <f t="shared" si="6"/>
        <v>0</v>
      </c>
      <c r="U16" s="223"/>
      <c r="V16" s="67">
        <f t="shared" si="11"/>
        <v>671655.1851851854</v>
      </c>
      <c r="W16" s="67">
        <f t="shared" si="12"/>
        <v>990966.66666666698</v>
      </c>
      <c r="X16" s="67">
        <f t="shared" si="13"/>
        <v>1001977.4074074076</v>
      </c>
      <c r="Y16" s="67">
        <f t="shared" si="14"/>
        <v>660644.44444444473</v>
      </c>
      <c r="Z16" s="58">
        <f t="shared" si="7"/>
        <v>-11010.740740740672</v>
      </c>
    </row>
    <row r="17" spans="2:26" x14ac:dyDescent="0.25">
      <c r="B17" s="67">
        <f t="shared" si="2"/>
        <v>10</v>
      </c>
      <c r="C17" s="67">
        <f t="shared" si="15"/>
        <v>12</v>
      </c>
      <c r="D17" s="67">
        <f t="shared" si="0"/>
        <v>2018</v>
      </c>
      <c r="E17" s="122">
        <f t="shared" si="1"/>
        <v>43465</v>
      </c>
      <c r="F17" s="67">
        <f>IFERROR(HLOOKUP(IF($C$4="Все","Итого:",$C$4),'План продаж'!$L$5:$P$66,MATCH(Расчёт.ПрибылиВсё!$B17,'План продаж'!$B$5:$B$66,0),0),0)</f>
        <v>3046000</v>
      </c>
      <c r="G17" s="67">
        <f t="shared" si="3"/>
        <v>-1113566.666666667</v>
      </c>
      <c r="H17" s="67">
        <f>IFERROR(HLOOKUP(IF($C$4="Все","Итого:",$C$4),'План продаж'!$Q$5:$U$66,MATCH(Расчёт.ПрибылиВсё!$B17,'План продаж'!$B$5:$B$66,0),0),0)</f>
        <v>1932433.333333333</v>
      </c>
      <c r="I17" s="67">
        <f>-(HLOOKUP(IF($C$4="Все","Итого:",$C$4),'Расчёт.Постоянные расходы'!$B$5:$I$129,MATCH(Расчёт.ПрибылиВсё!$B17,'Расчёт.Постоянные расходы'!$B$5:$B$130,0),0))</f>
        <v>-560000</v>
      </c>
      <c r="J17" s="67">
        <f>-(HLOOKUP(IF($C$4="Все","Итого:",$C$4),Персонал!$Q$4:$V$129,MATCH(Расчёт.ПрибылиВсё!$B17,Персонал!$O$4:$O$129,0),0))</f>
        <v>-604500</v>
      </c>
      <c r="K17" s="67">
        <f>-SUMIFS(Инвестиции!$M$13:$M$20,Инвестиции!$B$13:$B$20,Расчёт.ПрибылиВсё!$D17)</f>
        <v>-77055.924242424255</v>
      </c>
      <c r="L17" s="67">
        <f t="shared" si="4"/>
        <v>690877.40909090871</v>
      </c>
      <c r="M17" s="67">
        <f>-IF($C$4="Все",SUMIFS('Заёмные средства'!$P:$P,'Заёмные средства'!$F:$F,Расчёт.ПрибылиВсё!$B17),0)</f>
        <v>-51562.499999999978</v>
      </c>
      <c r="N17" s="67">
        <f>IF(IF(Персонал!Y14&gt;(-L17*0.15),(-L17*0.15)+Персонал!Y14*0.5,(-L17*0.15)+Персонал!Y14)&gt;0,-F17*0.01,IF(Персонал!Y14&gt;(-L17*0.15),(-L17*0.15)+Персонал!Y14*0.5,(-L17*0.15)+Персонал!Y14))</f>
        <v>-33881.611363636301</v>
      </c>
      <c r="P17" s="67">
        <f t="shared" si="8"/>
        <v>66064.444444444467</v>
      </c>
      <c r="Q17" s="67">
        <f t="shared" si="9"/>
        <v>1121740.0000000002</v>
      </c>
      <c r="R17" s="67">
        <f t="shared" si="5"/>
        <v>1113566.666666667</v>
      </c>
      <c r="S17" s="67">
        <f t="shared" si="10"/>
        <v>74237.777777777796</v>
      </c>
      <c r="T17" s="67">
        <f t="shared" si="6"/>
        <v>8173.3333333333285</v>
      </c>
      <c r="U17" s="223"/>
      <c r="V17" s="67">
        <f t="shared" si="11"/>
        <v>660644.44444444473</v>
      </c>
      <c r="W17" s="67">
        <f t="shared" si="12"/>
        <v>1121740.0000000002</v>
      </c>
      <c r="X17" s="67">
        <f t="shared" si="13"/>
        <v>1034557.7777777781</v>
      </c>
      <c r="Y17" s="67">
        <f t="shared" si="14"/>
        <v>747826.66666666686</v>
      </c>
      <c r="Z17" s="58">
        <f t="shared" si="7"/>
        <v>87182.222222222132</v>
      </c>
    </row>
    <row r="18" spans="2:26" x14ac:dyDescent="0.25">
      <c r="B18" s="67">
        <f t="shared" si="2"/>
        <v>11</v>
      </c>
      <c r="C18" s="67">
        <f t="shared" si="15"/>
        <v>1</v>
      </c>
      <c r="D18" s="67">
        <f t="shared" si="0"/>
        <v>2019</v>
      </c>
      <c r="E18" s="122">
        <f t="shared" si="1"/>
        <v>43496</v>
      </c>
      <c r="F18" s="67">
        <f>IFERROR(HLOOKUP(IF($C$4="Все","Итого:",$C$4),'План продаж'!$L$5:$P$66,MATCH(Расчёт.ПрибылиВсё!$B18,'План продаж'!$B$5:$B$66,0),0),0)</f>
        <v>3046000</v>
      </c>
      <c r="G18" s="67">
        <f t="shared" si="3"/>
        <v>-1113566.666666667</v>
      </c>
      <c r="H18" s="67">
        <f>IFERROR(HLOOKUP(IF($C$4="Все","Итого:",$C$4),'План продаж'!$Q$5:$U$66,MATCH(Расчёт.ПрибылиВсё!$B18,'План продаж'!$B$5:$B$66,0),0),0)</f>
        <v>1932433.333333333</v>
      </c>
      <c r="I18" s="67">
        <f>-(HLOOKUP(IF($C$4="Все","Итого:",$C$4),'Расчёт.Постоянные расходы'!$B$5:$I$129,MATCH(Расчёт.ПрибылиВсё!$B18,'Расчёт.Постоянные расходы'!$B$5:$B$130,0),0))</f>
        <v>-560000</v>
      </c>
      <c r="J18" s="67">
        <f>-(HLOOKUP(IF($C$4="Все","Итого:",$C$4),Персонал!$Q$4:$V$129,MATCH(Расчёт.ПрибылиВсё!$B18,Персонал!$O$4:$O$129,0),0))</f>
        <v>-604500</v>
      </c>
      <c r="K18" s="67">
        <f>-SUMIFS(Инвестиции!$M$13:$M$20,Инвестиции!$B$13:$B$20,Расчёт.ПрибылиВсё!$D18)</f>
        <v>-84761.516666666677</v>
      </c>
      <c r="L18" s="67">
        <f t="shared" si="4"/>
        <v>683171.8166666663</v>
      </c>
      <c r="M18" s="67">
        <f>-IF($C$4="Все",SUMIFS('Заёмные средства'!$P:$P,'Заёмные средства'!$F:$F,Расчёт.ПрибылиВсё!$B18),0)</f>
        <v>-49652.777777777759</v>
      </c>
      <c r="N18" s="67">
        <f>IF(IF(Персонал!Y15&gt;(-L18*0.15),(-L18*0.15)+Персонал!Y15*0.5,(-L18*0.15)+Персонал!Y15)&gt;0,-F18*0.01,IF(Персонал!Y15&gt;(-L18*0.15),(-L18*0.15)+Персонал!Y15*0.5,(-L18*0.15)+Персонал!Y15))</f>
        <v>-32725.772499999948</v>
      </c>
      <c r="P18" s="67">
        <f t="shared" si="8"/>
        <v>74237.777777777796</v>
      </c>
      <c r="Q18" s="67">
        <f t="shared" si="9"/>
        <v>1113566.666666667</v>
      </c>
      <c r="R18" s="67">
        <f t="shared" si="5"/>
        <v>1113566.666666667</v>
      </c>
      <c r="S18" s="67">
        <f t="shared" si="10"/>
        <v>74237.777777777796</v>
      </c>
      <c r="T18" s="67">
        <f t="shared" si="6"/>
        <v>0</v>
      </c>
      <c r="U18" s="223"/>
      <c r="V18" s="67">
        <f t="shared" si="11"/>
        <v>747826.66666666686</v>
      </c>
      <c r="W18" s="67">
        <f t="shared" si="12"/>
        <v>1113566.666666667</v>
      </c>
      <c r="X18" s="67">
        <f t="shared" si="13"/>
        <v>1119015.555555556</v>
      </c>
      <c r="Y18" s="67">
        <f t="shared" si="14"/>
        <v>742377.77777777798</v>
      </c>
      <c r="Z18" s="58">
        <f t="shared" si="7"/>
        <v>-5448.888888888876</v>
      </c>
    </row>
    <row r="19" spans="2:26" x14ac:dyDescent="0.25">
      <c r="B19" s="67">
        <f t="shared" si="2"/>
        <v>12</v>
      </c>
      <c r="C19" s="67">
        <f t="shared" si="15"/>
        <v>2</v>
      </c>
      <c r="D19" s="67">
        <f t="shared" si="0"/>
        <v>2019</v>
      </c>
      <c r="E19" s="122">
        <f t="shared" si="1"/>
        <v>43524</v>
      </c>
      <c r="F19" s="67">
        <f>IFERROR(HLOOKUP(IF($C$4="Все","Итого:",$C$4),'План продаж'!$L$5:$P$66,MATCH(Расчёт.ПрибылиВсё!$B19,'План продаж'!$B$5:$B$66,0),0),0)</f>
        <v>3046000</v>
      </c>
      <c r="G19" s="67">
        <f t="shared" si="3"/>
        <v>-1113566.666666667</v>
      </c>
      <c r="H19" s="67">
        <f>IFERROR(HLOOKUP(IF($C$4="Все","Итого:",$C$4),'План продаж'!$Q$5:$U$66,MATCH(Расчёт.ПрибылиВсё!$B19,'План продаж'!$B$5:$B$66,0),0),0)</f>
        <v>1932433.333333333</v>
      </c>
      <c r="I19" s="67">
        <f>-(HLOOKUP(IF($C$4="Все","Итого:",$C$4),'Расчёт.Постоянные расходы'!$B$5:$I$129,MATCH(Расчёт.ПрибылиВсё!$B19,'Расчёт.Постоянные расходы'!$B$5:$B$130,0),0))</f>
        <v>-560000</v>
      </c>
      <c r="J19" s="67">
        <f>-(HLOOKUP(IF($C$4="Все","Итого:",$C$4),Персонал!$Q$4:$V$129,MATCH(Расчёт.ПрибылиВсё!$B19,Персонал!$O$4:$O$129,0),0))</f>
        <v>-604500</v>
      </c>
      <c r="K19" s="67">
        <f>-SUMIFS(Инвестиции!$M$13:$M$20,Инвестиции!$B$13:$B$20,Расчёт.ПрибылиВсё!$D19)</f>
        <v>-84761.516666666677</v>
      </c>
      <c r="L19" s="67">
        <f t="shared" si="4"/>
        <v>683171.8166666663</v>
      </c>
      <c r="M19" s="67">
        <f>-IF($C$4="Все",SUMIFS('Заёмные средства'!$P:$P,'Заёмные средства'!$F:$F,Расчёт.ПрибылиВсё!$B19),0)</f>
        <v>-47743.05555555554</v>
      </c>
      <c r="N19" s="67">
        <f>IF(IF(Персонал!Y16&gt;(-L19*0.15),(-L19*0.15)+Персонал!Y16*0.5,(-L19*0.15)+Персонал!Y16)&gt;0,-F19*0.01,IF(Персонал!Y16&gt;(-L19*0.15),(-L19*0.15)+Персонал!Y16*0.5,(-L19*0.15)+Персонал!Y16))</f>
        <v>-32725.772499999948</v>
      </c>
      <c r="P19" s="67">
        <f t="shared" si="8"/>
        <v>74237.777777777796</v>
      </c>
      <c r="Q19" s="67">
        <f t="shared" si="9"/>
        <v>1113566.666666667</v>
      </c>
      <c r="R19" s="67">
        <f t="shared" si="5"/>
        <v>1113566.666666667</v>
      </c>
      <c r="S19" s="67">
        <f t="shared" si="10"/>
        <v>74237.777777777796</v>
      </c>
      <c r="T19" s="67">
        <f t="shared" si="6"/>
        <v>0</v>
      </c>
      <c r="U19" s="223"/>
      <c r="V19" s="67">
        <f t="shared" si="11"/>
        <v>742377.77777777798</v>
      </c>
      <c r="W19" s="67">
        <f t="shared" si="12"/>
        <v>1113566.666666667</v>
      </c>
      <c r="X19" s="67">
        <f t="shared" ref="X19:X27" si="16">V19+W19-Y19</f>
        <v>1113566.666666667</v>
      </c>
      <c r="Y19" s="67">
        <f t="shared" ref="Y19:Y27" si="17">W19/30*20</f>
        <v>742377.77777777798</v>
      </c>
      <c r="Z19" s="58">
        <f t="shared" si="7"/>
        <v>0</v>
      </c>
    </row>
    <row r="20" spans="2:26" x14ac:dyDescent="0.25">
      <c r="B20" s="67">
        <f t="shared" si="2"/>
        <v>13</v>
      </c>
      <c r="C20" s="67">
        <f t="shared" si="15"/>
        <v>3</v>
      </c>
      <c r="D20" s="67">
        <f t="shared" si="0"/>
        <v>2019</v>
      </c>
      <c r="E20" s="122">
        <f t="shared" si="1"/>
        <v>43555</v>
      </c>
      <c r="F20" s="67">
        <f>IFERROR(HLOOKUP(IF($C$4="Все","Итого:",$C$4),'План продаж'!$L$5:$P$66,MATCH(Расчёт.ПрибылиВсё!$B20,'План продаж'!$B$5:$B$66,0),0),0)</f>
        <v>3046000</v>
      </c>
      <c r="G20" s="67">
        <f t="shared" si="3"/>
        <v>-1113566.666666667</v>
      </c>
      <c r="H20" s="67">
        <f>IFERROR(HLOOKUP(IF($C$4="Все","Итого:",$C$4),'План продаж'!$Q$5:$U$66,MATCH(Расчёт.ПрибылиВсё!$B20,'План продаж'!$B$5:$B$66,0),0),0)</f>
        <v>1932433.333333333</v>
      </c>
      <c r="I20" s="67">
        <f>-(HLOOKUP(IF($C$4="Все","Итого:",$C$4),'Расчёт.Постоянные расходы'!$B$5:$I$129,MATCH(Расчёт.ПрибылиВсё!$B20,'Расчёт.Постоянные расходы'!$B$5:$B$130,0),0))</f>
        <v>-560000</v>
      </c>
      <c r="J20" s="67">
        <f>-(HLOOKUP(IF($C$4="Все","Итого:",$C$4),Персонал!$Q$4:$V$129,MATCH(Расчёт.ПрибылиВсё!$B20,Персонал!$O$4:$O$129,0),0))</f>
        <v>-604500</v>
      </c>
      <c r="K20" s="67">
        <f>-SUMIFS(Инвестиции!$M$13:$M$20,Инвестиции!$B$13:$B$20,Расчёт.ПрибылиВсё!$D20)</f>
        <v>-84761.516666666677</v>
      </c>
      <c r="L20" s="67">
        <f t="shared" si="4"/>
        <v>683171.8166666663</v>
      </c>
      <c r="M20" s="67">
        <f>-IF($C$4="Все",SUMIFS('Заёмные средства'!$P:$P,'Заёмные средства'!$F:$F,Расчёт.ПрибылиВсё!$B20),0)</f>
        <v>-45833.333333333321</v>
      </c>
      <c r="N20" s="67">
        <f>IF(IF(Персонал!Y17&gt;(-L20*0.15),(-L20*0.15)+Персонал!Y17*0.5,(-L20*0.15)+Персонал!Y17)&gt;0,-F20*0.01,IF(Персонал!Y17&gt;(-L20*0.15),(-L20*0.15)+Персонал!Y17*0.5,(-L20*0.15)+Персонал!Y17))</f>
        <v>-32725.772499999948</v>
      </c>
      <c r="P20" s="67">
        <f t="shared" si="8"/>
        <v>74237.777777777796</v>
      </c>
      <c r="Q20" s="67">
        <f t="shared" si="9"/>
        <v>1113566.666666667</v>
      </c>
      <c r="R20" s="67">
        <f t="shared" si="5"/>
        <v>1113566.666666667</v>
      </c>
      <c r="S20" s="67">
        <f t="shared" si="10"/>
        <v>74237.777777777796</v>
      </c>
      <c r="T20" s="67">
        <f t="shared" si="6"/>
        <v>0</v>
      </c>
      <c r="U20" s="223"/>
      <c r="V20" s="67">
        <f t="shared" si="11"/>
        <v>742377.77777777798</v>
      </c>
      <c r="W20" s="67">
        <f t="shared" si="12"/>
        <v>1113566.666666667</v>
      </c>
      <c r="X20" s="67">
        <f t="shared" si="16"/>
        <v>1113566.666666667</v>
      </c>
      <c r="Y20" s="67">
        <f t="shared" si="17"/>
        <v>742377.77777777798</v>
      </c>
      <c r="Z20" s="58">
        <f t="shared" si="7"/>
        <v>0</v>
      </c>
    </row>
    <row r="21" spans="2:26" x14ac:dyDescent="0.25">
      <c r="B21" s="106">
        <f t="shared" si="2"/>
        <v>14</v>
      </c>
      <c r="C21" s="106">
        <f t="shared" si="15"/>
        <v>4</v>
      </c>
      <c r="D21" s="106">
        <f t="shared" si="0"/>
        <v>2019</v>
      </c>
      <c r="E21" s="149">
        <f t="shared" si="1"/>
        <v>43585</v>
      </c>
      <c r="F21" s="67">
        <f>IFERROR(HLOOKUP(IF($C$4="Все","Итого:",$C$4),'План продаж'!$L$5:$P$66,MATCH(Расчёт.ПрибылиВсё!$B21,'План продаж'!$B$5:$B$66,0),0),0)</f>
        <v>3046000</v>
      </c>
      <c r="G21" s="67">
        <f t="shared" si="3"/>
        <v>-1113566.666666667</v>
      </c>
      <c r="H21" s="67">
        <f>IFERROR(HLOOKUP(IF($C$4="Все","Итого:",$C$4),'План продаж'!$Q$5:$U$66,MATCH(Расчёт.ПрибылиВсё!$B21,'План продаж'!$B$5:$B$66,0),0),0)</f>
        <v>1932433.333333333</v>
      </c>
      <c r="I21" s="67">
        <f>-(HLOOKUP(IF($C$4="Все","Итого:",$C$4),'Расчёт.Постоянные расходы'!$B$5:$I$129,MATCH(Расчёт.ПрибылиВсё!$B21,'Расчёт.Постоянные расходы'!$B$5:$B$130,0),0))</f>
        <v>-560000</v>
      </c>
      <c r="J21" s="67">
        <f>-(HLOOKUP(IF($C$4="Все","Итого:",$C$4),Персонал!$Q$4:$V$129,MATCH(Расчёт.ПрибылиВсё!$B21,Персонал!$O$4:$O$129,0),0))</f>
        <v>-604500</v>
      </c>
      <c r="K21" s="67">
        <f>-SUMIFS(Инвестиции!$M$13:$M$20,Инвестиции!$B$13:$B$20,Расчёт.ПрибылиВсё!$D21)</f>
        <v>-84761.516666666677</v>
      </c>
      <c r="L21" s="67">
        <f t="shared" si="4"/>
        <v>683171.8166666663</v>
      </c>
      <c r="M21" s="67">
        <f>-IF($C$4="Все",SUMIFS('Заёмные средства'!$P:$P,'Заёмные средства'!$F:$F,Расчёт.ПрибылиВсё!$B21),0)</f>
        <v>-43923.611111111095</v>
      </c>
      <c r="N21" s="67">
        <f>IF(IF(Персонал!Y18&gt;(-L21*0.15),(-L21*0.15)+Персонал!Y18*0.5,(-L21*0.15)+Персонал!Y18)&gt;0,-F21*0.01,IF(Персонал!Y18&gt;(-L21*0.15),(-L21*0.15)+Персонал!Y18*0.5,(-L21*0.15)+Персонал!Y18))</f>
        <v>-32725.772499999948</v>
      </c>
      <c r="P21" s="67">
        <f t="shared" si="8"/>
        <v>74237.777777777796</v>
      </c>
      <c r="Q21" s="67">
        <f t="shared" si="9"/>
        <v>1113566.666666667</v>
      </c>
      <c r="R21" s="67">
        <f t="shared" si="5"/>
        <v>1113566.666666667</v>
      </c>
      <c r="S21" s="67">
        <f t="shared" si="10"/>
        <v>74237.777777777796</v>
      </c>
      <c r="T21" s="67">
        <f t="shared" si="6"/>
        <v>0</v>
      </c>
      <c r="U21" s="223"/>
      <c r="V21" s="67">
        <f t="shared" si="11"/>
        <v>742377.77777777798</v>
      </c>
      <c r="W21" s="67">
        <f t="shared" si="12"/>
        <v>1113566.666666667</v>
      </c>
      <c r="X21" s="67">
        <f t="shared" si="16"/>
        <v>1113566.666666667</v>
      </c>
      <c r="Y21" s="67">
        <f t="shared" si="17"/>
        <v>742377.77777777798</v>
      </c>
      <c r="Z21" s="58">
        <f t="shared" si="7"/>
        <v>0</v>
      </c>
    </row>
    <row r="22" spans="2:26" x14ac:dyDescent="0.25">
      <c r="B22" s="67">
        <f t="shared" si="2"/>
        <v>15</v>
      </c>
      <c r="C22" s="67">
        <f t="shared" si="15"/>
        <v>5</v>
      </c>
      <c r="D22" s="67">
        <f t="shared" si="0"/>
        <v>2019</v>
      </c>
      <c r="E22" s="122">
        <f t="shared" si="1"/>
        <v>43616</v>
      </c>
      <c r="F22" s="67">
        <f>IFERROR(HLOOKUP(IF($C$4="Все","Итого:",$C$4),'План продаж'!$L$5:$P$66,MATCH(Расчёт.ПрибылиВсё!$B22,'План продаж'!$B$5:$B$66,0),0),0)</f>
        <v>2805000</v>
      </c>
      <c r="G22" s="67">
        <f t="shared" si="3"/>
        <v>-1116550.0000000005</v>
      </c>
      <c r="H22" s="67">
        <f>IFERROR(HLOOKUP(IF($C$4="Все","Итого:",$C$4),'План продаж'!$Q$5:$U$66,MATCH(Расчёт.ПрибылиВсё!$B22,'План продаж'!$B$5:$B$66,0),0),0)</f>
        <v>1688449.9999999995</v>
      </c>
      <c r="I22" s="67">
        <f>-(HLOOKUP(IF($C$4="Все","Итого:",$C$4),'Расчёт.Постоянные расходы'!$B$5:$I$129,MATCH(Расчёт.ПрибылиВсё!$B22,'Расчёт.Постоянные расходы'!$B$5:$B$130,0),0))</f>
        <v>-560000</v>
      </c>
      <c r="J22" s="67">
        <f>-(HLOOKUP(IF($C$4="Все","Итого:",$C$4),Персонал!$Q$4:$V$129,MATCH(Расчёт.ПрибылиВсё!$B22,Персонал!$O$4:$O$129,0),0))</f>
        <v>-604500</v>
      </c>
      <c r="K22" s="67">
        <f>-SUMIFS(Инвестиции!$M$13:$M$20,Инвестиции!$B$13:$B$20,Расчёт.ПрибылиВсё!$D22)</f>
        <v>-84761.516666666677</v>
      </c>
      <c r="L22" s="67">
        <f t="shared" si="4"/>
        <v>439188.48333333287</v>
      </c>
      <c r="M22" s="67">
        <f>-IF($C$4="Все",SUMIFS('Заёмные средства'!$P:$P,'Заёмные средства'!$F:$F,Расчёт.ПрибылиВсё!$B22),0)</f>
        <v>-42013.888888888876</v>
      </c>
      <c r="N22" s="67">
        <f>IF(IF(Персонал!Y19&gt;(-L22*0.15),(-L22*0.15)+Персонал!Y19*0.5,(-L22*0.15)+Персонал!Y19)&gt;0,-F22*0.01,IF(Персонал!Y19&gt;(-L22*0.15),(-L22*0.15)+Персонал!Y19*0.5,(-L22*0.15)+Персонал!Y19))</f>
        <v>-28050</v>
      </c>
      <c r="P22" s="67">
        <f t="shared" si="8"/>
        <v>74237.777777777796</v>
      </c>
      <c r="Q22" s="67">
        <f t="shared" si="9"/>
        <v>1116748.8888888895</v>
      </c>
      <c r="R22" s="67">
        <f t="shared" si="5"/>
        <v>1116550.0000000005</v>
      </c>
      <c r="S22" s="67">
        <f t="shared" si="10"/>
        <v>74436.666666666701</v>
      </c>
      <c r="T22" s="67">
        <f t="shared" si="6"/>
        <v>198.88888888890506</v>
      </c>
      <c r="U22" s="223"/>
      <c r="V22" s="67">
        <f t="shared" si="11"/>
        <v>742377.77777777798</v>
      </c>
      <c r="W22" s="67">
        <f t="shared" si="12"/>
        <v>1116748.8888888895</v>
      </c>
      <c r="X22" s="67">
        <f t="shared" si="16"/>
        <v>1114627.4074074076</v>
      </c>
      <c r="Y22" s="67">
        <f t="shared" si="17"/>
        <v>744499.25925925968</v>
      </c>
      <c r="Z22" s="58">
        <f t="shared" si="7"/>
        <v>2121.4814814816928</v>
      </c>
    </row>
    <row r="23" spans="2:26" x14ac:dyDescent="0.25">
      <c r="B23" s="67">
        <f t="shared" si="2"/>
        <v>16</v>
      </c>
      <c r="C23" s="67">
        <f t="shared" si="15"/>
        <v>6</v>
      </c>
      <c r="D23" s="67">
        <f t="shared" si="0"/>
        <v>2019</v>
      </c>
      <c r="E23" s="122">
        <f t="shared" si="1"/>
        <v>43646</v>
      </c>
      <c r="F23" s="67">
        <f>IFERROR(HLOOKUP(IF($C$4="Все","Итого:",$C$4),'План продаж'!$L$5:$P$66,MATCH(Расчёт.ПрибылиВсё!$B23,'План продаж'!$B$5:$B$66,0),0),0)</f>
        <v>2805000</v>
      </c>
      <c r="G23" s="67">
        <f t="shared" si="3"/>
        <v>-1116550.0000000005</v>
      </c>
      <c r="H23" s="67">
        <f>IFERROR(HLOOKUP(IF($C$4="Все","Итого:",$C$4),'План продаж'!$Q$5:$U$66,MATCH(Расчёт.ПрибылиВсё!$B23,'План продаж'!$B$5:$B$66,0),0),0)</f>
        <v>1688449.9999999995</v>
      </c>
      <c r="I23" s="67">
        <f>-(HLOOKUP(IF($C$4="Все","Итого:",$C$4),'Расчёт.Постоянные расходы'!$B$5:$I$129,MATCH(Расчёт.ПрибылиВсё!$B23,'Расчёт.Постоянные расходы'!$B$5:$B$130,0),0))</f>
        <v>-560000</v>
      </c>
      <c r="J23" s="67">
        <f>-(HLOOKUP(IF($C$4="Все","Итого:",$C$4),Персонал!$Q$4:$V$129,MATCH(Расчёт.ПрибылиВсё!$B23,Персонал!$O$4:$O$129,0),0))</f>
        <v>-604500</v>
      </c>
      <c r="K23" s="67">
        <f>-SUMIFS(Инвестиции!$M$13:$M$20,Инвестиции!$B$13:$B$20,Расчёт.ПрибылиВсё!$D23)</f>
        <v>-84761.516666666677</v>
      </c>
      <c r="L23" s="67">
        <f t="shared" si="4"/>
        <v>439188.48333333287</v>
      </c>
      <c r="M23" s="67">
        <f>-IF($C$4="Все",SUMIFS('Заёмные средства'!$P:$P,'Заёмные средства'!$F:$F,Расчёт.ПрибылиВсё!$B23),0)</f>
        <v>-40104.166666666657</v>
      </c>
      <c r="N23" s="67">
        <f>IF(IF(Персонал!Y20&gt;(-L23*0.15),(-L23*0.15)+Персонал!Y20*0.5,(-L23*0.15)+Персонал!Y20)&gt;0,-F23*0.01,IF(Персонал!Y20&gt;(-L23*0.15),(-L23*0.15)+Персонал!Y20*0.5,(-L23*0.15)+Персонал!Y20))</f>
        <v>-28050</v>
      </c>
      <c r="P23" s="67">
        <f t="shared" si="8"/>
        <v>74436.666666666701</v>
      </c>
      <c r="Q23" s="67">
        <f t="shared" si="9"/>
        <v>1116550.0000000005</v>
      </c>
      <c r="R23" s="67">
        <f t="shared" si="5"/>
        <v>1116550.0000000005</v>
      </c>
      <c r="S23" s="67">
        <f t="shared" si="10"/>
        <v>74436.666666666701</v>
      </c>
      <c r="T23" s="67">
        <f t="shared" si="6"/>
        <v>0</v>
      </c>
      <c r="U23" s="223"/>
      <c r="V23" s="67">
        <f t="shared" si="11"/>
        <v>744499.25925925968</v>
      </c>
      <c r="W23" s="67">
        <f t="shared" si="12"/>
        <v>1116550.0000000005</v>
      </c>
      <c r="X23" s="67">
        <f t="shared" si="16"/>
        <v>1116682.5925925933</v>
      </c>
      <c r="Y23" s="67">
        <f t="shared" si="17"/>
        <v>744366.66666666698</v>
      </c>
      <c r="Z23" s="58">
        <f t="shared" si="7"/>
        <v>-132.59259259270038</v>
      </c>
    </row>
    <row r="24" spans="2:26" x14ac:dyDescent="0.25">
      <c r="B24" s="67">
        <f t="shared" ref="B24:B67" si="18">B23+1</f>
        <v>17</v>
      </c>
      <c r="C24" s="67">
        <f t="shared" si="15"/>
        <v>7</v>
      </c>
      <c r="D24" s="67">
        <f t="shared" si="0"/>
        <v>2019</v>
      </c>
      <c r="E24" s="122">
        <f t="shared" si="1"/>
        <v>43677</v>
      </c>
      <c r="F24" s="67">
        <f>IFERROR(HLOOKUP(IF($C$4="Все","Итого:",$C$4),'План продаж'!$L$5:$P$66,MATCH(Расчёт.ПрибылиВсё!$B24,'План продаж'!$B$5:$B$66,0),0),0)</f>
        <v>2805000</v>
      </c>
      <c r="G24" s="67">
        <f t="shared" si="3"/>
        <v>-1116550.0000000005</v>
      </c>
      <c r="H24" s="67">
        <f>IFERROR(HLOOKUP(IF($C$4="Все","Итого:",$C$4),'План продаж'!$Q$5:$U$66,MATCH(Расчёт.ПрибылиВсё!$B24,'План продаж'!$B$5:$B$66,0),0),0)</f>
        <v>1688449.9999999995</v>
      </c>
      <c r="I24" s="67">
        <f>-(HLOOKUP(IF($C$4="Все","Итого:",$C$4),'Расчёт.Постоянные расходы'!$B$5:$I$129,MATCH(Расчёт.ПрибылиВсё!$B24,'Расчёт.Постоянные расходы'!$B$5:$B$130,0),0))</f>
        <v>-560000</v>
      </c>
      <c r="J24" s="67">
        <f>-(HLOOKUP(IF($C$4="Все","Итого:",$C$4),Персонал!$Q$4:$V$129,MATCH(Расчёт.ПрибылиВсё!$B24,Персонал!$O$4:$O$129,0),0))</f>
        <v>-604500</v>
      </c>
      <c r="K24" s="67">
        <f>-SUMIFS(Инвестиции!$M$13:$M$20,Инвестиции!$B$13:$B$20,Расчёт.ПрибылиВсё!$D24)</f>
        <v>-84761.516666666677</v>
      </c>
      <c r="L24" s="67">
        <f t="shared" si="4"/>
        <v>439188.48333333287</v>
      </c>
      <c r="M24" s="67">
        <f>-IF($C$4="Все",SUMIFS('Заёмные средства'!$P:$P,'Заёмные средства'!$F:$F,Расчёт.ПрибылиВсё!$B24),0)</f>
        <v>-38194.444444444438</v>
      </c>
      <c r="N24" s="67">
        <f>IF(IF(Персонал!Y21&gt;(-L24*0.15),(-L24*0.15)+Персонал!Y21*0.5,(-L24*0.15)+Персонал!Y21)&gt;0,-F24*0.01,IF(Персонал!Y21&gt;(-L24*0.15),(-L24*0.15)+Персонал!Y21*0.5,(-L24*0.15)+Персонал!Y21))</f>
        <v>-28050</v>
      </c>
      <c r="P24" s="67">
        <f t="shared" si="8"/>
        <v>74436.666666666701</v>
      </c>
      <c r="Q24" s="67">
        <f t="shared" si="9"/>
        <v>1116550.0000000005</v>
      </c>
      <c r="R24" s="67">
        <f t="shared" si="5"/>
        <v>1116550.0000000005</v>
      </c>
      <c r="S24" s="67">
        <f t="shared" si="10"/>
        <v>74436.666666666701</v>
      </c>
      <c r="T24" s="67">
        <f t="shared" si="6"/>
        <v>0</v>
      </c>
      <c r="U24" s="223"/>
      <c r="V24" s="67">
        <f t="shared" si="11"/>
        <v>744366.66666666698</v>
      </c>
      <c r="W24" s="67">
        <f t="shared" si="12"/>
        <v>1116550.0000000005</v>
      </c>
      <c r="X24" s="67">
        <f t="shared" si="16"/>
        <v>1116550.0000000005</v>
      </c>
      <c r="Y24" s="67">
        <f t="shared" si="17"/>
        <v>744366.66666666698</v>
      </c>
      <c r="Z24" s="58">
        <f t="shared" si="7"/>
        <v>0</v>
      </c>
    </row>
    <row r="25" spans="2:26" x14ac:dyDescent="0.25">
      <c r="B25" s="67">
        <f t="shared" si="18"/>
        <v>18</v>
      </c>
      <c r="C25" s="67">
        <f t="shared" si="15"/>
        <v>8</v>
      </c>
      <c r="D25" s="67">
        <f t="shared" si="0"/>
        <v>2019</v>
      </c>
      <c r="E25" s="122">
        <f t="shared" si="1"/>
        <v>43708</v>
      </c>
      <c r="F25" s="67">
        <f>IFERROR(HLOOKUP(IF($C$4="Все","Итого:",$C$4),'План продаж'!$L$5:$P$66,MATCH(Расчёт.ПрибылиВсё!$B25,'План продаж'!$B$5:$B$66,0),0),0)</f>
        <v>2805000</v>
      </c>
      <c r="G25" s="67">
        <f t="shared" si="3"/>
        <v>-1116550.0000000005</v>
      </c>
      <c r="H25" s="67">
        <f>IFERROR(HLOOKUP(IF($C$4="Все","Итого:",$C$4),'План продаж'!$Q$5:$U$66,MATCH(Расчёт.ПрибылиВсё!$B25,'План продаж'!$B$5:$B$66,0),0),0)</f>
        <v>1688449.9999999995</v>
      </c>
      <c r="I25" s="67">
        <f>-(HLOOKUP(IF($C$4="Все","Итого:",$C$4),'Расчёт.Постоянные расходы'!$B$5:$I$129,MATCH(Расчёт.ПрибылиВсё!$B25,'Расчёт.Постоянные расходы'!$B$5:$B$130,0),0))</f>
        <v>-560000</v>
      </c>
      <c r="J25" s="67">
        <f>-(HLOOKUP(IF($C$4="Все","Итого:",$C$4),Персонал!$Q$4:$V$129,MATCH(Расчёт.ПрибылиВсё!$B25,Персонал!$O$4:$O$129,0),0))</f>
        <v>-604500</v>
      </c>
      <c r="K25" s="67">
        <f>-SUMIFS(Инвестиции!$M$13:$M$20,Инвестиции!$B$13:$B$20,Расчёт.ПрибылиВсё!$D25)</f>
        <v>-84761.516666666677</v>
      </c>
      <c r="L25" s="67">
        <f t="shared" si="4"/>
        <v>439188.48333333287</v>
      </c>
      <c r="M25" s="67">
        <f>-IF($C$4="Все",SUMIFS('Заёмные средства'!$P:$P,'Заёмные средства'!$F:$F,Расчёт.ПрибылиВсё!$B25),0)</f>
        <v>-36284.722222222212</v>
      </c>
      <c r="N25" s="67">
        <f>IF(IF(Персонал!Y22&gt;(-L25*0.15),(-L25*0.15)+Персонал!Y22*0.5,(-L25*0.15)+Персонал!Y22)&gt;0,-F25*0.01,IF(Персонал!Y22&gt;(-L25*0.15),(-L25*0.15)+Персонал!Y22*0.5,(-L25*0.15)+Персонал!Y22))</f>
        <v>-28050</v>
      </c>
      <c r="P25" s="67">
        <f t="shared" si="8"/>
        <v>74436.666666666701</v>
      </c>
      <c r="Q25" s="67">
        <f t="shared" si="9"/>
        <v>1116550.0000000005</v>
      </c>
      <c r="R25" s="67">
        <f t="shared" si="5"/>
        <v>1116550.0000000005</v>
      </c>
      <c r="S25" s="67">
        <f t="shared" si="10"/>
        <v>74436.666666666701</v>
      </c>
      <c r="T25" s="67">
        <f t="shared" si="6"/>
        <v>0</v>
      </c>
      <c r="U25" s="223"/>
      <c r="V25" s="67">
        <f t="shared" si="11"/>
        <v>744366.66666666698</v>
      </c>
      <c r="W25" s="67">
        <f t="shared" si="12"/>
        <v>1116550.0000000005</v>
      </c>
      <c r="X25" s="67">
        <f t="shared" si="16"/>
        <v>1116550.0000000005</v>
      </c>
      <c r="Y25" s="67">
        <f t="shared" si="17"/>
        <v>744366.66666666698</v>
      </c>
      <c r="Z25" s="58">
        <f t="shared" si="7"/>
        <v>0</v>
      </c>
    </row>
    <row r="26" spans="2:26" x14ac:dyDescent="0.25">
      <c r="B26" s="67">
        <f t="shared" si="18"/>
        <v>19</v>
      </c>
      <c r="C26" s="67">
        <f t="shared" si="15"/>
        <v>9</v>
      </c>
      <c r="D26" s="67">
        <f t="shared" si="0"/>
        <v>2019</v>
      </c>
      <c r="E26" s="122">
        <f t="shared" si="1"/>
        <v>43738</v>
      </c>
      <c r="F26" s="67">
        <f>IFERROR(HLOOKUP(IF($C$4="Все","Итого:",$C$4),'План продаж'!$L$5:$P$66,MATCH(Расчёт.ПрибылиВсё!$B26,'План продаж'!$B$5:$B$66,0),0),0)</f>
        <v>2805000</v>
      </c>
      <c r="G26" s="67">
        <f t="shared" si="3"/>
        <v>-1116550.0000000005</v>
      </c>
      <c r="H26" s="67">
        <f>IFERROR(HLOOKUP(IF($C$4="Все","Итого:",$C$4),'План продаж'!$Q$5:$U$66,MATCH(Расчёт.ПрибылиВсё!$B26,'План продаж'!$B$5:$B$66,0),0),0)</f>
        <v>1688449.9999999995</v>
      </c>
      <c r="I26" s="67">
        <f>-(HLOOKUP(IF($C$4="Все","Итого:",$C$4),'Расчёт.Постоянные расходы'!$B$5:$I$129,MATCH(Расчёт.ПрибылиВсё!$B26,'Расчёт.Постоянные расходы'!$B$5:$B$130,0),0))</f>
        <v>-560000</v>
      </c>
      <c r="J26" s="67">
        <f>-(HLOOKUP(IF($C$4="Все","Итого:",$C$4),Персонал!$Q$4:$V$129,MATCH(Расчёт.ПрибылиВсё!$B26,Персонал!$O$4:$O$129,0),0))</f>
        <v>-604500</v>
      </c>
      <c r="K26" s="67">
        <f>-SUMIFS(Инвестиции!$M$13:$M$20,Инвестиции!$B$13:$B$20,Расчёт.ПрибылиВсё!$D26)</f>
        <v>-84761.516666666677</v>
      </c>
      <c r="L26" s="67">
        <f t="shared" si="4"/>
        <v>439188.48333333287</v>
      </c>
      <c r="M26" s="67">
        <f>-IF($C$4="Все",SUMIFS('Заёмные средства'!$P:$P,'Заёмные средства'!$F:$F,Расчёт.ПрибылиВсё!$B26),0)</f>
        <v>-34374.999999999985</v>
      </c>
      <c r="N26" s="67">
        <f>IF(IF(Персонал!Y23&gt;(-L26*0.15),(-L26*0.15)+Персонал!Y23*0.5,(-L26*0.15)+Персонал!Y23)&gt;0,-F26*0.01,IF(Персонал!Y23&gt;(-L26*0.15),(-L26*0.15)+Персонал!Y23*0.5,(-L26*0.15)+Персонал!Y23))</f>
        <v>-28050</v>
      </c>
      <c r="P26" s="67">
        <f t="shared" si="8"/>
        <v>74436.666666666701</v>
      </c>
      <c r="Q26" s="67">
        <f t="shared" si="9"/>
        <v>1116550.0000000005</v>
      </c>
      <c r="R26" s="67">
        <f t="shared" si="5"/>
        <v>1116550.0000000005</v>
      </c>
      <c r="S26" s="67">
        <f t="shared" si="10"/>
        <v>74436.666666666701</v>
      </c>
      <c r="T26" s="67">
        <f t="shared" si="6"/>
        <v>0</v>
      </c>
      <c r="U26" s="223"/>
      <c r="V26" s="67">
        <f t="shared" si="11"/>
        <v>744366.66666666698</v>
      </c>
      <c r="W26" s="67">
        <f t="shared" si="12"/>
        <v>1116550.0000000005</v>
      </c>
      <c r="X26" s="67">
        <f t="shared" si="16"/>
        <v>1116550.0000000005</v>
      </c>
      <c r="Y26" s="67">
        <f t="shared" si="17"/>
        <v>744366.66666666698</v>
      </c>
      <c r="Z26" s="58">
        <f t="shared" si="7"/>
        <v>0</v>
      </c>
    </row>
    <row r="27" spans="2:26" x14ac:dyDescent="0.25">
      <c r="B27" s="67">
        <f t="shared" si="18"/>
        <v>20</v>
      </c>
      <c r="C27" s="67">
        <f t="shared" si="15"/>
        <v>10</v>
      </c>
      <c r="D27" s="67">
        <f t="shared" si="0"/>
        <v>2019</v>
      </c>
      <c r="E27" s="122">
        <f t="shared" si="1"/>
        <v>43769</v>
      </c>
      <c r="F27" s="67">
        <f>IFERROR(HLOOKUP(IF($C$4="Все","Итого:",$C$4),'План продаж'!$L$5:$P$66,MATCH(Расчёт.ПрибылиВсё!$B27,'План продаж'!$B$5:$B$66,0),0),0)</f>
        <v>3740000</v>
      </c>
      <c r="G27" s="67">
        <f t="shared" si="3"/>
        <v>-1488733.333333334</v>
      </c>
      <c r="H27" s="67">
        <f>IFERROR(HLOOKUP(IF($C$4="Все","Итого:",$C$4),'План продаж'!$Q$5:$U$66,MATCH(Расчёт.ПрибылиВсё!$B27,'План продаж'!$B$5:$B$66,0),0),0)</f>
        <v>2251266.666666666</v>
      </c>
      <c r="I27" s="67">
        <f>-(HLOOKUP(IF($C$4="Все","Итого:",$C$4),'Расчёт.Постоянные расходы'!$B$5:$I$129,MATCH(Расчёт.ПрибылиВсё!$B27,'Расчёт.Постоянные расходы'!$B$5:$B$130,0),0))</f>
        <v>-560000</v>
      </c>
      <c r="J27" s="67">
        <f>-(HLOOKUP(IF($C$4="Все","Итого:",$C$4),Персонал!$Q$4:$V$129,MATCH(Расчёт.ПрибылиВсё!$B27,Персонал!$O$4:$O$129,0),0))</f>
        <v>-604500</v>
      </c>
      <c r="K27" s="67">
        <f>-SUMIFS(Инвестиции!$M$13:$M$20,Инвестиции!$B$13:$B$20,Расчёт.ПрибылиВсё!$D27)</f>
        <v>-84761.516666666677</v>
      </c>
      <c r="L27" s="67">
        <f t="shared" si="4"/>
        <v>1002005.1499999993</v>
      </c>
      <c r="M27" s="67">
        <f>-IF($C$4="Все",SUMIFS('Заёмные средства'!$P:$P,'Заёмные средства'!$F:$F,Расчёт.ПрибылиВсё!$B27),0)</f>
        <v>-32465.277777777766</v>
      </c>
      <c r="N27" s="67">
        <f>IF(IF(Персонал!Y24&gt;(-L27*0.15),(-L27*0.15)+Персонал!Y24*0.5,(-L27*0.15)+Персонал!Y24)&gt;0,-F27*0.01,IF(Персонал!Y24&gt;(-L27*0.15),(-L27*0.15)+Персонал!Y24*0.5,(-L27*0.15)+Персонал!Y24))</f>
        <v>-80550.772499999905</v>
      </c>
      <c r="P27" s="67">
        <f t="shared" si="8"/>
        <v>74436.666666666701</v>
      </c>
      <c r="Q27" s="67">
        <f t="shared" si="9"/>
        <v>1513545.5555555562</v>
      </c>
      <c r="R27" s="67">
        <f t="shared" si="5"/>
        <v>1488733.333333334</v>
      </c>
      <c r="S27" s="67">
        <f t="shared" si="10"/>
        <v>99248.888888888934</v>
      </c>
      <c r="T27" s="67">
        <f t="shared" si="6"/>
        <v>24812.222222222234</v>
      </c>
      <c r="U27" s="223"/>
      <c r="V27" s="67">
        <f t="shared" si="11"/>
        <v>744366.66666666698</v>
      </c>
      <c r="W27" s="67">
        <f t="shared" si="12"/>
        <v>1513545.5555555562</v>
      </c>
      <c r="X27" s="67">
        <f t="shared" si="16"/>
        <v>1248881.8518518521</v>
      </c>
      <c r="Y27" s="67">
        <f t="shared" si="17"/>
        <v>1009030.3703703708</v>
      </c>
      <c r="Z27" s="58">
        <f t="shared" si="7"/>
        <v>264663.70370370382</v>
      </c>
    </row>
    <row r="28" spans="2:26" x14ac:dyDescent="0.25">
      <c r="B28" s="67">
        <f t="shared" si="18"/>
        <v>21</v>
      </c>
      <c r="C28" s="67">
        <f t="shared" si="15"/>
        <v>11</v>
      </c>
      <c r="D28" s="67">
        <f t="shared" si="0"/>
        <v>2019</v>
      </c>
      <c r="E28" s="122">
        <f t="shared" si="1"/>
        <v>43799</v>
      </c>
      <c r="F28" s="67">
        <f>IFERROR(HLOOKUP(IF($C$4="Все","Итого:",$C$4),'План продаж'!$L$5:$P$66,MATCH(Расчёт.ПрибылиВсё!$B28,'План продаж'!$B$5:$B$66,0),0),0)</f>
        <v>3740000</v>
      </c>
      <c r="G28" s="67">
        <f t="shared" si="3"/>
        <v>-1488733.333333334</v>
      </c>
      <c r="H28" s="67">
        <f>IFERROR(HLOOKUP(IF($C$4="Все","Итого:",$C$4),'План продаж'!$Q$5:$U$66,MATCH(Расчёт.ПрибылиВсё!$B28,'План продаж'!$B$5:$B$66,0),0),0)</f>
        <v>2251266.666666666</v>
      </c>
      <c r="I28" s="67">
        <f>-(HLOOKUP(IF($C$4="Все","Итого:",$C$4),'Расчёт.Постоянные расходы'!$B$5:$I$129,MATCH(Расчёт.ПрибылиВсё!$B28,'Расчёт.Постоянные расходы'!$B$5:$B$130,0),0))</f>
        <v>-560000</v>
      </c>
      <c r="J28" s="67">
        <f>-(HLOOKUP(IF($C$4="Все","Итого:",$C$4),Персонал!$Q$4:$V$129,MATCH(Расчёт.ПрибылиВсё!$B28,Персонал!$O$4:$O$129,0),0))</f>
        <v>-604500</v>
      </c>
      <c r="K28" s="67">
        <f>-SUMIFS(Инвестиции!$M$13:$M$20,Инвестиции!$B$13:$B$20,Расчёт.ПрибылиВсё!$D28)</f>
        <v>-84761.516666666677</v>
      </c>
      <c r="L28" s="67">
        <f t="shared" si="4"/>
        <v>1002005.1499999993</v>
      </c>
      <c r="M28" s="67">
        <f>-IF($C$4="Все",SUMIFS('Заёмные средства'!$P:$P,'Заёмные средства'!$F:$F,Расчёт.ПрибылиВсё!$B28),0)</f>
        <v>-30555.555555555547</v>
      </c>
      <c r="N28" s="67">
        <f>IF(IF(Персонал!Y25&gt;(-L28*0.15),(-L28*0.15)+Персонал!Y25*0.5,(-L28*0.15)+Персонал!Y25)&gt;0,-F28*0.01,IF(Персонал!Y25&gt;(-L28*0.15),(-L28*0.15)+Персонал!Y25*0.5,(-L28*0.15)+Персонал!Y25))</f>
        <v>-80550.772499999905</v>
      </c>
      <c r="P28" s="67">
        <f t="shared" si="8"/>
        <v>99248.888888888934</v>
      </c>
      <c r="Q28" s="67">
        <f t="shared" si="9"/>
        <v>1488733.333333334</v>
      </c>
      <c r="R28" s="67">
        <f t="shared" si="5"/>
        <v>1488733.333333334</v>
      </c>
      <c r="S28" s="67">
        <f t="shared" si="10"/>
        <v>99248.888888888934</v>
      </c>
      <c r="T28" s="67">
        <f t="shared" si="6"/>
        <v>0</v>
      </c>
      <c r="U28" s="223"/>
      <c r="V28" s="67">
        <f t="shared" si="11"/>
        <v>1009030.3703703708</v>
      </c>
      <c r="W28" s="67">
        <f t="shared" si="12"/>
        <v>1488733.333333334</v>
      </c>
      <c r="X28" s="67">
        <f t="shared" ref="X28:X33" si="19">V28+W28-Y28</f>
        <v>1505274.8148148153</v>
      </c>
      <c r="Y28" s="67">
        <f t="shared" ref="Y28:Y33" si="20">W28/30*20</f>
        <v>992488.88888888934</v>
      </c>
      <c r="Z28" s="58">
        <f t="shared" si="7"/>
        <v>-16541.48148148146</v>
      </c>
    </row>
    <row r="29" spans="2:26" x14ac:dyDescent="0.25">
      <c r="B29" s="67">
        <f t="shared" si="18"/>
        <v>22</v>
      </c>
      <c r="C29" s="67">
        <f t="shared" si="15"/>
        <v>12</v>
      </c>
      <c r="D29" s="67">
        <f t="shared" si="0"/>
        <v>2019</v>
      </c>
      <c r="E29" s="122">
        <f t="shared" si="1"/>
        <v>43830</v>
      </c>
      <c r="F29" s="67">
        <f>IFERROR(HLOOKUP(IF($C$4="Все","Итого:",$C$4),'План продаж'!$L$5:$P$66,MATCH(Расчёт.ПрибылиВсё!$B29,'План продаж'!$B$5:$B$66,0),0),0)</f>
        <v>3740000</v>
      </c>
      <c r="G29" s="67">
        <f t="shared" si="3"/>
        <v>-1488733.333333334</v>
      </c>
      <c r="H29" s="67">
        <f>IFERROR(HLOOKUP(IF($C$4="Все","Итого:",$C$4),'План продаж'!$Q$5:$U$66,MATCH(Расчёт.ПрибылиВсё!$B29,'План продаж'!$B$5:$B$66,0),0),0)</f>
        <v>2251266.666666666</v>
      </c>
      <c r="I29" s="67">
        <f>-(HLOOKUP(IF($C$4="Все","Итого:",$C$4),'Расчёт.Постоянные расходы'!$B$5:$I$129,MATCH(Расчёт.ПрибылиВсё!$B29,'Расчёт.Постоянные расходы'!$B$5:$B$130,0),0))</f>
        <v>-560000</v>
      </c>
      <c r="J29" s="67">
        <f>-(HLOOKUP(IF($C$4="Все","Итого:",$C$4),Персонал!$Q$4:$V$129,MATCH(Расчёт.ПрибылиВсё!$B29,Персонал!$O$4:$O$129,0),0))</f>
        <v>-604500</v>
      </c>
      <c r="K29" s="67">
        <f>-SUMIFS(Инвестиции!$M$13:$M$20,Инвестиции!$B$13:$B$20,Расчёт.ПрибылиВсё!$D29)</f>
        <v>-84761.516666666677</v>
      </c>
      <c r="L29" s="67">
        <f t="shared" si="4"/>
        <v>1002005.1499999993</v>
      </c>
      <c r="M29" s="67">
        <f>-IF($C$4="Все",SUMIFS('Заёмные средства'!$P:$P,'Заёмные средства'!$F:$F,Расчёт.ПрибылиВсё!$B29),0)</f>
        <v>-28645.833333333325</v>
      </c>
      <c r="N29" s="67">
        <f>IF(IF(Персонал!Y26&gt;(-L29*0.15),(-L29*0.15)+Персонал!Y26*0.5,(-L29*0.15)+Персонал!Y26)&gt;0,-F29*0.01,IF(Персонал!Y26&gt;(-L29*0.15),(-L29*0.15)+Персонал!Y26*0.5,(-L29*0.15)+Персонал!Y26))</f>
        <v>-80550.772499999905</v>
      </c>
      <c r="P29" s="67">
        <f t="shared" si="8"/>
        <v>99248.888888888934</v>
      </c>
      <c r="Q29" s="67">
        <f t="shared" si="9"/>
        <v>1488733.333333334</v>
      </c>
      <c r="R29" s="67">
        <f t="shared" si="5"/>
        <v>1488733.333333334</v>
      </c>
      <c r="S29" s="67">
        <f t="shared" si="10"/>
        <v>99248.888888888934</v>
      </c>
      <c r="T29" s="67">
        <f t="shared" si="6"/>
        <v>0</v>
      </c>
      <c r="U29" s="223"/>
      <c r="V29" s="67">
        <f t="shared" si="11"/>
        <v>992488.88888888934</v>
      </c>
      <c r="W29" s="67">
        <f t="shared" si="12"/>
        <v>1488733.333333334</v>
      </c>
      <c r="X29" s="67">
        <f t="shared" si="19"/>
        <v>1488733.333333334</v>
      </c>
      <c r="Y29" s="67">
        <f t="shared" si="20"/>
        <v>992488.88888888934</v>
      </c>
      <c r="Z29" s="58">
        <f t="shared" si="7"/>
        <v>0</v>
      </c>
    </row>
    <row r="30" spans="2:26" x14ac:dyDescent="0.25">
      <c r="B30" s="67">
        <f t="shared" si="18"/>
        <v>23</v>
      </c>
      <c r="C30" s="67">
        <f t="shared" si="15"/>
        <v>1</v>
      </c>
      <c r="D30" s="67">
        <f t="shared" si="0"/>
        <v>2020</v>
      </c>
      <c r="E30" s="122">
        <f t="shared" si="1"/>
        <v>43861</v>
      </c>
      <c r="F30" s="67">
        <f>IFERROR(HLOOKUP(IF($C$4="Все","Итого:",$C$4),'План продаж'!$L$5:$P$66,MATCH(Расчёт.ПрибылиВсё!$B30,'План продаж'!$B$5:$B$66,0),0),0)</f>
        <v>3740000</v>
      </c>
      <c r="G30" s="67">
        <f t="shared" si="3"/>
        <v>-1488733.333333334</v>
      </c>
      <c r="H30" s="67">
        <f>IFERROR(HLOOKUP(IF($C$4="Все","Итого:",$C$4),'План продаж'!$Q$5:$U$66,MATCH(Расчёт.ПрибылиВсё!$B30,'План продаж'!$B$5:$B$66,0),0),0)</f>
        <v>2251266.666666666</v>
      </c>
      <c r="I30" s="67">
        <f>-(HLOOKUP(IF($C$4="Все","Итого:",$C$4),'Расчёт.Постоянные расходы'!$B$5:$I$129,MATCH(Расчёт.ПрибылиВсё!$B30,'Расчёт.Постоянные расходы'!$B$5:$B$130,0),0))</f>
        <v>-560000</v>
      </c>
      <c r="J30" s="67">
        <f>-(HLOOKUP(IF($C$4="Все","Итого:",$C$4),Персонал!$Q$4:$V$129,MATCH(Расчёт.ПрибылиВсё!$B30,Персонал!$O$4:$O$129,0),0))</f>
        <v>-604500</v>
      </c>
      <c r="K30" s="67">
        <f>-SUMIFS(Инвестиции!$M$13:$M$20,Инвестиции!$B$13:$B$20,Расчёт.ПрибылиВсё!$D30)</f>
        <v>-84761.516666666677</v>
      </c>
      <c r="L30" s="67">
        <f t="shared" si="4"/>
        <v>1002005.1499999993</v>
      </c>
      <c r="M30" s="67">
        <f>-IF($C$4="Все",SUMIFS('Заёмные средства'!$P:$P,'Заёмные средства'!$F:$F,Расчёт.ПрибылиВсё!$B30),0)</f>
        <v>-26736.111111111106</v>
      </c>
      <c r="N30" s="67">
        <f>IF(IF(Персонал!Y27&gt;(-L30*0.15),(-L30*0.15)+Персонал!Y27*0.5,(-L30*0.15)+Персонал!Y27)&gt;0,-F30*0.01,IF(Персонал!Y27&gt;(-L30*0.15),(-L30*0.15)+Персонал!Y27*0.5,(-L30*0.15)+Персонал!Y27))</f>
        <v>-80550.772499999905</v>
      </c>
      <c r="P30" s="67">
        <f t="shared" si="8"/>
        <v>99248.888888888934</v>
      </c>
      <c r="Q30" s="67">
        <f t="shared" si="9"/>
        <v>1488733.333333334</v>
      </c>
      <c r="R30" s="67">
        <f t="shared" si="5"/>
        <v>1488733.333333334</v>
      </c>
      <c r="S30" s="67">
        <f t="shared" si="10"/>
        <v>99248.888888888934</v>
      </c>
      <c r="T30" s="67">
        <f t="shared" si="6"/>
        <v>0</v>
      </c>
      <c r="U30" s="223"/>
      <c r="V30" s="67">
        <f t="shared" si="11"/>
        <v>992488.88888888934</v>
      </c>
      <c r="W30" s="67">
        <f t="shared" si="12"/>
        <v>1488733.333333334</v>
      </c>
      <c r="X30" s="67">
        <f t="shared" si="19"/>
        <v>1488733.333333334</v>
      </c>
      <c r="Y30" s="67">
        <f t="shared" si="20"/>
        <v>992488.88888888934</v>
      </c>
      <c r="Z30" s="58">
        <f t="shared" si="7"/>
        <v>0</v>
      </c>
    </row>
    <row r="31" spans="2:26" x14ac:dyDescent="0.25">
      <c r="B31" s="67">
        <f t="shared" si="18"/>
        <v>24</v>
      </c>
      <c r="C31" s="67">
        <f t="shared" si="15"/>
        <v>2</v>
      </c>
      <c r="D31" s="67">
        <f t="shared" si="0"/>
        <v>2020</v>
      </c>
      <c r="E31" s="122">
        <f t="shared" si="1"/>
        <v>43890</v>
      </c>
      <c r="F31" s="67">
        <f>IFERROR(HLOOKUP(IF($C$4="Все","Итого:",$C$4),'План продаж'!$L$5:$P$66,MATCH(Расчёт.ПрибылиВсё!$B31,'План продаж'!$B$5:$B$66,0),0),0)</f>
        <v>3740000</v>
      </c>
      <c r="G31" s="67">
        <f t="shared" si="3"/>
        <v>-1488733.333333334</v>
      </c>
      <c r="H31" s="67">
        <f>IFERROR(HLOOKUP(IF($C$4="Все","Итого:",$C$4),'План продаж'!$Q$5:$U$66,MATCH(Расчёт.ПрибылиВсё!$B31,'План продаж'!$B$5:$B$66,0),0),0)</f>
        <v>2251266.666666666</v>
      </c>
      <c r="I31" s="67">
        <f>-(HLOOKUP(IF($C$4="Все","Итого:",$C$4),'Расчёт.Постоянные расходы'!$B$5:$I$129,MATCH(Расчёт.ПрибылиВсё!$B31,'Расчёт.Постоянные расходы'!$B$5:$B$130,0),0))</f>
        <v>-560000</v>
      </c>
      <c r="J31" s="67">
        <f>-(HLOOKUP(IF($C$4="Все","Итого:",$C$4),Персонал!$Q$4:$V$129,MATCH(Расчёт.ПрибылиВсё!$B31,Персонал!$O$4:$O$129,0),0))</f>
        <v>-604500</v>
      </c>
      <c r="K31" s="67">
        <f>-SUMIFS(Инвестиции!$M$13:$M$20,Инвестиции!$B$13:$B$20,Расчёт.ПрибылиВсё!$D31)</f>
        <v>-84761.516666666677</v>
      </c>
      <c r="L31" s="67">
        <f t="shared" si="4"/>
        <v>1002005.1499999993</v>
      </c>
      <c r="M31" s="67">
        <f>-IF($C$4="Все",SUMIFS('Заёмные средства'!$P:$P,'Заёмные средства'!$F:$F,Расчёт.ПрибылиВсё!$B31),0)</f>
        <v>-24826.388888888883</v>
      </c>
      <c r="N31" s="67">
        <f>IF(IF(Персонал!Y28&gt;(-L31*0.15),(-L31*0.15)+Персонал!Y28*0.5,(-L31*0.15)+Персонал!Y28)&gt;0,-F31*0.01,IF(Персонал!Y28&gt;(-L31*0.15),(-L31*0.15)+Персонал!Y28*0.5,(-L31*0.15)+Персонал!Y28))</f>
        <v>-80550.772499999905</v>
      </c>
      <c r="P31" s="67">
        <f t="shared" si="8"/>
        <v>99248.888888888934</v>
      </c>
      <c r="Q31" s="67">
        <f t="shared" si="9"/>
        <v>1488733.333333334</v>
      </c>
      <c r="R31" s="67">
        <f t="shared" si="5"/>
        <v>1488733.333333334</v>
      </c>
      <c r="S31" s="67">
        <f t="shared" si="10"/>
        <v>99248.888888888934</v>
      </c>
      <c r="T31" s="67">
        <f t="shared" si="6"/>
        <v>0</v>
      </c>
      <c r="U31" s="223"/>
      <c r="V31" s="67">
        <f t="shared" si="11"/>
        <v>992488.88888888934</v>
      </c>
      <c r="W31" s="67">
        <f t="shared" si="12"/>
        <v>1488733.333333334</v>
      </c>
      <c r="X31" s="67">
        <f t="shared" si="19"/>
        <v>1488733.333333334</v>
      </c>
      <c r="Y31" s="67">
        <f t="shared" si="20"/>
        <v>992488.88888888934</v>
      </c>
      <c r="Z31" s="58">
        <f t="shared" si="7"/>
        <v>0</v>
      </c>
    </row>
    <row r="32" spans="2:26" x14ac:dyDescent="0.25">
      <c r="B32" s="67">
        <f t="shared" si="18"/>
        <v>25</v>
      </c>
      <c r="C32" s="67">
        <f t="shared" si="15"/>
        <v>3</v>
      </c>
      <c r="D32" s="67">
        <f t="shared" si="0"/>
        <v>2020</v>
      </c>
      <c r="E32" s="122">
        <f t="shared" si="1"/>
        <v>43921</v>
      </c>
      <c r="F32" s="67">
        <f>IFERROR(HLOOKUP(IF($C$4="Все","Итого:",$C$4),'План продаж'!$L$5:$P$66,MATCH(Расчёт.ПрибылиВсё!$B32,'План продаж'!$B$5:$B$66,0),0),0)</f>
        <v>3740000</v>
      </c>
      <c r="G32" s="67">
        <f t="shared" si="3"/>
        <v>-1488733.333333334</v>
      </c>
      <c r="H32" s="67">
        <f>IFERROR(HLOOKUP(IF($C$4="Все","Итого:",$C$4),'План продаж'!$Q$5:$U$66,MATCH(Расчёт.ПрибылиВсё!$B32,'План продаж'!$B$5:$B$66,0),0),0)</f>
        <v>2251266.666666666</v>
      </c>
      <c r="I32" s="67">
        <f>-(HLOOKUP(IF($C$4="Все","Итого:",$C$4),'Расчёт.Постоянные расходы'!$B$5:$I$129,MATCH(Расчёт.ПрибылиВсё!$B32,'Расчёт.Постоянные расходы'!$B$5:$B$130,0),0))</f>
        <v>-560000</v>
      </c>
      <c r="J32" s="67">
        <f>-(HLOOKUP(IF($C$4="Все","Итого:",$C$4),Персонал!$Q$4:$V$129,MATCH(Расчёт.ПрибылиВсё!$B32,Персонал!$O$4:$O$129,0),0))</f>
        <v>-604500</v>
      </c>
      <c r="K32" s="67">
        <f>-SUMIFS(Инвестиции!$M$13:$M$20,Инвестиции!$B$13:$B$20,Расчёт.ПрибылиВсё!$D32)</f>
        <v>-84761.516666666677</v>
      </c>
      <c r="L32" s="67">
        <f t="shared" si="4"/>
        <v>1002005.1499999993</v>
      </c>
      <c r="M32" s="67">
        <f>-IF($C$4="Все",SUMIFS('Заёмные средства'!$P:$P,'Заёмные средства'!$F:$F,Расчёт.ПрибылиВсё!$B32),0)</f>
        <v>-22916.666666666661</v>
      </c>
      <c r="N32" s="67">
        <f>IF(IF(Персонал!Y29&gt;(-L32*0.15),(-L32*0.15)+Персонал!Y29*0.5,(-L32*0.15)+Персонал!Y29)&gt;0,-F32*0.01,IF(Персонал!Y29&gt;(-L32*0.15),(-L32*0.15)+Персонал!Y29*0.5,(-L32*0.15)+Персонал!Y29))</f>
        <v>-80550.772499999905</v>
      </c>
      <c r="P32" s="67">
        <f t="shared" si="8"/>
        <v>99248.888888888934</v>
      </c>
      <c r="Q32" s="67">
        <f t="shared" si="9"/>
        <v>1488733.333333334</v>
      </c>
      <c r="R32" s="67">
        <f t="shared" si="5"/>
        <v>1488733.333333334</v>
      </c>
      <c r="S32" s="67">
        <f t="shared" si="10"/>
        <v>99248.888888888934</v>
      </c>
      <c r="T32" s="67">
        <f t="shared" si="6"/>
        <v>0</v>
      </c>
      <c r="U32" s="223"/>
      <c r="V32" s="67">
        <f t="shared" si="11"/>
        <v>992488.88888888934</v>
      </c>
      <c r="W32" s="67">
        <f t="shared" si="12"/>
        <v>1488733.333333334</v>
      </c>
      <c r="X32" s="67">
        <f t="shared" si="19"/>
        <v>1488733.333333334</v>
      </c>
      <c r="Y32" s="67">
        <f t="shared" si="20"/>
        <v>992488.88888888934</v>
      </c>
      <c r="Z32" s="58">
        <f t="shared" si="7"/>
        <v>0</v>
      </c>
    </row>
    <row r="33" spans="2:26" x14ac:dyDescent="0.25">
      <c r="B33" s="67">
        <f t="shared" si="18"/>
        <v>26</v>
      </c>
      <c r="C33" s="67">
        <f t="shared" si="15"/>
        <v>4</v>
      </c>
      <c r="D33" s="67">
        <f t="shared" si="0"/>
        <v>2020</v>
      </c>
      <c r="E33" s="122">
        <f t="shared" si="1"/>
        <v>43951</v>
      </c>
      <c r="F33" s="67">
        <f>IFERROR(HLOOKUP(IF($C$4="Все","Итого:",$C$4),'План продаж'!$L$5:$P$66,MATCH(Расчёт.ПрибылиВсё!$B33,'План продаж'!$B$5:$B$66,0),0),0)</f>
        <v>3740000</v>
      </c>
      <c r="G33" s="67">
        <f t="shared" si="3"/>
        <v>-1488733.333333334</v>
      </c>
      <c r="H33" s="67">
        <f>IFERROR(HLOOKUP(IF($C$4="Все","Итого:",$C$4),'План продаж'!$Q$5:$U$66,MATCH(Расчёт.ПрибылиВсё!$B33,'План продаж'!$B$5:$B$66,0),0),0)</f>
        <v>2251266.666666666</v>
      </c>
      <c r="I33" s="67">
        <f>-(HLOOKUP(IF($C$4="Все","Итого:",$C$4),'Расчёт.Постоянные расходы'!$B$5:$I$129,MATCH(Расчёт.ПрибылиВсё!$B33,'Расчёт.Постоянные расходы'!$B$5:$B$130,0),0))</f>
        <v>-560000</v>
      </c>
      <c r="J33" s="67">
        <f>-(HLOOKUP(IF($C$4="Все","Итого:",$C$4),Персонал!$Q$4:$V$129,MATCH(Расчёт.ПрибылиВсё!$B33,Персонал!$O$4:$O$129,0),0))</f>
        <v>-604500</v>
      </c>
      <c r="K33" s="67">
        <f>-SUMIFS(Инвестиции!$M$13:$M$20,Инвестиции!$B$13:$B$20,Расчёт.ПрибылиВсё!$D33)</f>
        <v>-84761.516666666677</v>
      </c>
      <c r="L33" s="67">
        <f t="shared" si="4"/>
        <v>1002005.1499999993</v>
      </c>
      <c r="M33" s="67">
        <f>-IF($C$4="Все",SUMIFS('Заёмные средства'!$P:$P,'Заёмные средства'!$F:$F,Расчёт.ПрибылиВсё!$B33),0)</f>
        <v>-21006.944444444438</v>
      </c>
      <c r="N33" s="67">
        <f>IF(IF(Персонал!Y30&gt;(-L33*0.15),(-L33*0.15)+Персонал!Y30*0.5,(-L33*0.15)+Персонал!Y30)&gt;0,-F33*0.01,IF(Персонал!Y30&gt;(-L33*0.15),(-L33*0.15)+Персонал!Y30*0.5,(-L33*0.15)+Персонал!Y30))</f>
        <v>-80550.772499999905</v>
      </c>
      <c r="P33" s="67">
        <f t="shared" si="8"/>
        <v>99248.888888888934</v>
      </c>
      <c r="Q33" s="67">
        <f t="shared" si="9"/>
        <v>1488733.333333334</v>
      </c>
      <c r="R33" s="67">
        <f t="shared" si="5"/>
        <v>1488733.333333334</v>
      </c>
      <c r="S33" s="67">
        <f t="shared" si="10"/>
        <v>99248.888888888934</v>
      </c>
      <c r="T33" s="67">
        <f t="shared" si="6"/>
        <v>0</v>
      </c>
      <c r="U33" s="223"/>
      <c r="V33" s="67">
        <f t="shared" si="11"/>
        <v>992488.88888888934</v>
      </c>
      <c r="W33" s="67">
        <f t="shared" si="12"/>
        <v>1488733.333333334</v>
      </c>
      <c r="X33" s="67">
        <f t="shared" si="19"/>
        <v>1488733.333333334</v>
      </c>
      <c r="Y33" s="67">
        <f t="shared" si="20"/>
        <v>992488.88888888934</v>
      </c>
      <c r="Z33" s="58">
        <f t="shared" si="7"/>
        <v>0</v>
      </c>
    </row>
    <row r="34" spans="2:26" x14ac:dyDescent="0.25">
      <c r="B34" s="67">
        <f t="shared" si="18"/>
        <v>27</v>
      </c>
      <c r="C34" s="67">
        <f t="shared" si="15"/>
        <v>5</v>
      </c>
      <c r="D34" s="67">
        <f t="shared" si="0"/>
        <v>2020</v>
      </c>
      <c r="E34" s="122">
        <f t="shared" si="1"/>
        <v>43982</v>
      </c>
      <c r="F34" s="67">
        <f>IFERROR(HLOOKUP(IF($C$4="Все","Итого:",$C$4),'План продаж'!$L$5:$P$66,MATCH(Расчёт.ПрибылиВсё!$B34,'План продаж'!$B$5:$B$66,0),0),0)</f>
        <v>2805000</v>
      </c>
      <c r="G34" s="67">
        <f t="shared" si="3"/>
        <v>-1116550.0000000005</v>
      </c>
      <c r="H34" s="67">
        <f>IFERROR(HLOOKUP(IF($C$4="Все","Итого:",$C$4),'План продаж'!$Q$5:$U$66,MATCH(Расчёт.ПрибылиВсё!$B34,'План продаж'!$B$5:$B$66,0),0),0)</f>
        <v>1688449.9999999995</v>
      </c>
      <c r="I34" s="67">
        <f>-(HLOOKUP(IF($C$4="Все","Итого:",$C$4),'Расчёт.Постоянные расходы'!$B$5:$I$129,MATCH(Расчёт.ПрибылиВсё!$B34,'Расчёт.Постоянные расходы'!$B$5:$B$130,0),0))</f>
        <v>-560000</v>
      </c>
      <c r="J34" s="67">
        <f>-(HLOOKUP(IF($C$4="Все","Итого:",$C$4),Персонал!$Q$4:$V$129,MATCH(Расчёт.ПрибылиВсё!$B34,Персонал!$O$4:$O$129,0),0))</f>
        <v>-604500</v>
      </c>
      <c r="K34" s="67">
        <f>-SUMIFS(Инвестиции!$M$13:$M$20,Инвестиции!$B$13:$B$20,Расчёт.ПрибылиВсё!$D34)</f>
        <v>-84761.516666666677</v>
      </c>
      <c r="L34" s="67">
        <f t="shared" si="4"/>
        <v>439188.48333333287</v>
      </c>
      <c r="M34" s="67">
        <f>-IF($C$4="Все",SUMIFS('Заёмные средства'!$P:$P,'Заёмные средства'!$F:$F,Расчёт.ПрибылиВсё!$B34),0)</f>
        <v>-19097.222222222219</v>
      </c>
      <c r="N34" s="67">
        <f>IF(IF(Персонал!Y31&gt;(-L34*0.15),(-L34*0.15)+Персонал!Y31*0.5,(-L34*0.15)+Персонал!Y31)&gt;0,-F34*0.01,IF(Персонал!Y31&gt;(-L34*0.15),(-L34*0.15)+Персонал!Y31*0.5,(-L34*0.15)+Персонал!Y31))</f>
        <v>-28050</v>
      </c>
      <c r="P34" s="67">
        <f t="shared" si="8"/>
        <v>99248.888888888934</v>
      </c>
      <c r="Q34" s="67">
        <f t="shared" si="9"/>
        <v>1091737.7777777782</v>
      </c>
      <c r="R34" s="67">
        <f t="shared" si="5"/>
        <v>1116550.0000000005</v>
      </c>
      <c r="S34" s="67">
        <f t="shared" si="10"/>
        <v>74436.666666666701</v>
      </c>
      <c r="T34" s="67">
        <f t="shared" si="6"/>
        <v>-24812.222222222234</v>
      </c>
      <c r="U34" s="223"/>
      <c r="V34" s="67">
        <f t="shared" si="11"/>
        <v>992488.88888888934</v>
      </c>
      <c r="W34" s="67">
        <f t="shared" si="12"/>
        <v>1091737.7777777782</v>
      </c>
      <c r="X34" s="67">
        <f t="shared" ref="X34:X44" si="21">V34+W34-Y34</f>
        <v>1356401.4814814818</v>
      </c>
      <c r="Y34" s="67">
        <f t="shared" ref="Y34:Y44" si="22">W34/30*20</f>
        <v>727825.18518518552</v>
      </c>
      <c r="Z34" s="58">
        <f t="shared" si="7"/>
        <v>-264663.70370370382</v>
      </c>
    </row>
    <row r="35" spans="2:26" x14ac:dyDescent="0.25">
      <c r="B35" s="67">
        <f t="shared" si="18"/>
        <v>28</v>
      </c>
      <c r="C35" s="67">
        <f t="shared" si="15"/>
        <v>6</v>
      </c>
      <c r="D35" s="67">
        <f t="shared" si="0"/>
        <v>2020</v>
      </c>
      <c r="E35" s="122">
        <f t="shared" si="1"/>
        <v>44012</v>
      </c>
      <c r="F35" s="67">
        <f>IFERROR(HLOOKUP(IF($C$4="Все","Итого:",$C$4),'План продаж'!$L$5:$P$66,MATCH(Расчёт.ПрибылиВсё!$B35,'План продаж'!$B$5:$B$66,0),0),0)</f>
        <v>2805000</v>
      </c>
      <c r="G35" s="67">
        <f t="shared" si="3"/>
        <v>-1116550.0000000005</v>
      </c>
      <c r="H35" s="67">
        <f>IFERROR(HLOOKUP(IF($C$4="Все","Итого:",$C$4),'План продаж'!$Q$5:$U$66,MATCH(Расчёт.ПрибылиВсё!$B35,'План продаж'!$B$5:$B$66,0),0),0)</f>
        <v>1688449.9999999995</v>
      </c>
      <c r="I35" s="67">
        <f>-(HLOOKUP(IF($C$4="Все","Итого:",$C$4),'Расчёт.Постоянные расходы'!$B$5:$I$129,MATCH(Расчёт.ПрибылиВсё!$B35,'Расчёт.Постоянные расходы'!$B$5:$B$130,0),0))</f>
        <v>-560000</v>
      </c>
      <c r="J35" s="67">
        <f>-(HLOOKUP(IF($C$4="Все","Итого:",$C$4),Персонал!$Q$4:$V$129,MATCH(Расчёт.ПрибылиВсё!$B35,Персонал!$O$4:$O$129,0),0))</f>
        <v>-604500</v>
      </c>
      <c r="K35" s="67">
        <f>-SUMIFS(Инвестиции!$M$13:$M$20,Инвестиции!$B$13:$B$20,Расчёт.ПрибылиВсё!$D35)</f>
        <v>-84761.516666666677</v>
      </c>
      <c r="L35" s="67">
        <f t="shared" si="4"/>
        <v>439188.48333333287</v>
      </c>
      <c r="M35" s="67">
        <f>-IF($C$4="Все",SUMIFS('Заёмные средства'!$P:$P,'Заёмные средства'!$F:$F,Расчёт.ПрибылиВсё!$B35),0)</f>
        <v>-17187.499999999996</v>
      </c>
      <c r="N35" s="67">
        <f>IF(IF(Персонал!Y32&gt;(-L35*0.15),(-L35*0.15)+Персонал!Y32*0.5,(-L35*0.15)+Персонал!Y32)&gt;0,-F35*0.01,IF(Персонал!Y32&gt;(-L35*0.15),(-L35*0.15)+Персонал!Y32*0.5,(-L35*0.15)+Персонал!Y32))</f>
        <v>-28050</v>
      </c>
      <c r="P35" s="67">
        <f t="shared" si="8"/>
        <v>74436.666666666701</v>
      </c>
      <c r="Q35" s="67">
        <f t="shared" si="9"/>
        <v>1116550.0000000005</v>
      </c>
      <c r="R35" s="67">
        <f t="shared" si="5"/>
        <v>1116550.0000000005</v>
      </c>
      <c r="S35" s="67">
        <f t="shared" si="10"/>
        <v>74436.666666666701</v>
      </c>
      <c r="T35" s="67">
        <f t="shared" si="6"/>
        <v>0</v>
      </c>
      <c r="U35" s="223"/>
      <c r="V35" s="67">
        <f t="shared" si="11"/>
        <v>727825.18518518552</v>
      </c>
      <c r="W35" s="67">
        <f t="shared" si="12"/>
        <v>1116550.0000000005</v>
      </c>
      <c r="X35" s="67">
        <f t="shared" si="21"/>
        <v>1100008.5185185191</v>
      </c>
      <c r="Y35" s="67">
        <f t="shared" si="22"/>
        <v>744366.66666666698</v>
      </c>
      <c r="Z35" s="58">
        <f t="shared" si="7"/>
        <v>16541.48148148146</v>
      </c>
    </row>
    <row r="36" spans="2:26" x14ac:dyDescent="0.25">
      <c r="B36" s="67">
        <f t="shared" si="18"/>
        <v>29</v>
      </c>
      <c r="C36" s="67">
        <f t="shared" si="15"/>
        <v>7</v>
      </c>
      <c r="D36" s="67">
        <f t="shared" si="0"/>
        <v>2020</v>
      </c>
      <c r="E36" s="122">
        <f t="shared" si="1"/>
        <v>44043</v>
      </c>
      <c r="F36" s="67">
        <f>IFERROR(HLOOKUP(IF($C$4="Все","Итого:",$C$4),'План продаж'!$L$5:$P$66,MATCH(Расчёт.ПрибылиВсё!$B36,'План продаж'!$B$5:$B$66,0),0),0)</f>
        <v>2805000</v>
      </c>
      <c r="G36" s="67">
        <f t="shared" si="3"/>
        <v>-1116550.0000000005</v>
      </c>
      <c r="H36" s="67">
        <f>IFERROR(HLOOKUP(IF($C$4="Все","Итого:",$C$4),'План продаж'!$Q$5:$U$66,MATCH(Расчёт.ПрибылиВсё!$B36,'План продаж'!$B$5:$B$66,0),0),0)</f>
        <v>1688449.9999999995</v>
      </c>
      <c r="I36" s="67">
        <f>-(HLOOKUP(IF($C$4="Все","Итого:",$C$4),'Расчёт.Постоянные расходы'!$B$5:$I$129,MATCH(Расчёт.ПрибылиВсё!$B36,'Расчёт.Постоянные расходы'!$B$5:$B$130,0),0))</f>
        <v>-560000</v>
      </c>
      <c r="J36" s="67">
        <f>-(HLOOKUP(IF($C$4="Все","Итого:",$C$4),Персонал!$Q$4:$V$129,MATCH(Расчёт.ПрибылиВсё!$B36,Персонал!$O$4:$O$129,0),0))</f>
        <v>-604500</v>
      </c>
      <c r="K36" s="67">
        <f>-SUMIFS(Инвестиции!$M$13:$M$20,Инвестиции!$B$13:$B$20,Расчёт.ПрибылиВсё!$D36)</f>
        <v>-84761.516666666677</v>
      </c>
      <c r="L36" s="67">
        <f t="shared" si="4"/>
        <v>439188.48333333287</v>
      </c>
      <c r="M36" s="67">
        <f>-IF($C$4="Все",SUMIFS('Заёмные средства'!$P:$P,'Заёмные средства'!$F:$F,Расчёт.ПрибылиВсё!$B36),0)</f>
        <v>-15277.777777777774</v>
      </c>
      <c r="N36" s="67">
        <f>IF(IF(Персонал!Y33&gt;(-L36*0.15),(-L36*0.15)+Персонал!Y33*0.5,(-L36*0.15)+Персонал!Y33)&gt;0,-F36*0.01,IF(Персонал!Y33&gt;(-L36*0.15),(-L36*0.15)+Персонал!Y33*0.5,(-L36*0.15)+Персонал!Y33))</f>
        <v>-28050</v>
      </c>
      <c r="P36" s="67">
        <f t="shared" si="8"/>
        <v>74436.666666666701</v>
      </c>
      <c r="Q36" s="67">
        <f t="shared" si="9"/>
        <v>1116550.0000000005</v>
      </c>
      <c r="R36" s="67">
        <f t="shared" si="5"/>
        <v>1116550.0000000005</v>
      </c>
      <c r="S36" s="67">
        <f t="shared" si="10"/>
        <v>74436.666666666701</v>
      </c>
      <c r="T36" s="67">
        <f t="shared" si="6"/>
        <v>0</v>
      </c>
      <c r="U36" s="223"/>
      <c r="V36" s="67">
        <f t="shared" si="11"/>
        <v>744366.66666666698</v>
      </c>
      <c r="W36" s="67">
        <f t="shared" si="12"/>
        <v>1116550.0000000005</v>
      </c>
      <c r="X36" s="67">
        <f t="shared" si="21"/>
        <v>1116550.0000000005</v>
      </c>
      <c r="Y36" s="67">
        <f t="shared" si="22"/>
        <v>744366.66666666698</v>
      </c>
      <c r="Z36" s="58">
        <f t="shared" si="7"/>
        <v>0</v>
      </c>
    </row>
    <row r="37" spans="2:26" x14ac:dyDescent="0.25">
      <c r="B37" s="67">
        <f t="shared" si="18"/>
        <v>30</v>
      </c>
      <c r="C37" s="67">
        <f t="shared" si="15"/>
        <v>8</v>
      </c>
      <c r="D37" s="67">
        <f t="shared" si="0"/>
        <v>2020</v>
      </c>
      <c r="E37" s="122">
        <f t="shared" si="1"/>
        <v>44074</v>
      </c>
      <c r="F37" s="67">
        <f>IFERROR(HLOOKUP(IF($C$4="Все","Итого:",$C$4),'План продаж'!$L$5:$P$66,MATCH(Расчёт.ПрибылиВсё!$B37,'План продаж'!$B$5:$B$66,0),0),0)</f>
        <v>2805000</v>
      </c>
      <c r="G37" s="67">
        <f t="shared" si="3"/>
        <v>-1116550.0000000005</v>
      </c>
      <c r="H37" s="67">
        <f>IFERROR(HLOOKUP(IF($C$4="Все","Итого:",$C$4),'План продаж'!$Q$5:$U$66,MATCH(Расчёт.ПрибылиВсё!$B37,'План продаж'!$B$5:$B$66,0),0),0)</f>
        <v>1688449.9999999995</v>
      </c>
      <c r="I37" s="67">
        <f>-(HLOOKUP(IF($C$4="Все","Итого:",$C$4),'Расчёт.Постоянные расходы'!$B$5:$I$129,MATCH(Расчёт.ПрибылиВсё!$B37,'Расчёт.Постоянные расходы'!$B$5:$B$130,0),0))</f>
        <v>-560000</v>
      </c>
      <c r="J37" s="67">
        <f>-(HLOOKUP(IF($C$4="Все","Итого:",$C$4),Персонал!$Q$4:$V$129,MATCH(Расчёт.ПрибылиВсё!$B37,Персонал!$O$4:$O$129,0),0))</f>
        <v>-604500</v>
      </c>
      <c r="K37" s="67">
        <f>-SUMIFS(Инвестиции!$M$13:$M$20,Инвестиции!$B$13:$B$20,Расчёт.ПрибылиВсё!$D37)</f>
        <v>-84761.516666666677</v>
      </c>
      <c r="L37" s="67">
        <f t="shared" si="4"/>
        <v>439188.48333333287</v>
      </c>
      <c r="M37" s="67">
        <f>-IF($C$4="Все",SUMIFS('Заёмные средства'!$P:$P,'Заёмные средства'!$F:$F,Расчёт.ПрибылиВсё!$B37),0)</f>
        <v>-13368.055555555553</v>
      </c>
      <c r="N37" s="67">
        <f>IF(IF(Персонал!Y34&gt;(-L37*0.15),(-L37*0.15)+Персонал!Y34*0.5,(-L37*0.15)+Персонал!Y34)&gt;0,-F37*0.01,IF(Персонал!Y34&gt;(-L37*0.15),(-L37*0.15)+Персонал!Y34*0.5,(-L37*0.15)+Персонал!Y34))</f>
        <v>-28050</v>
      </c>
      <c r="P37" s="67">
        <f t="shared" si="8"/>
        <v>74436.666666666701</v>
      </c>
      <c r="Q37" s="67">
        <f t="shared" si="9"/>
        <v>1116550.0000000005</v>
      </c>
      <c r="R37" s="67">
        <f t="shared" si="5"/>
        <v>1116550.0000000005</v>
      </c>
      <c r="S37" s="67">
        <f t="shared" si="10"/>
        <v>74436.666666666701</v>
      </c>
      <c r="T37" s="67">
        <f t="shared" si="6"/>
        <v>0</v>
      </c>
      <c r="U37" s="223"/>
      <c r="V37" s="67">
        <f t="shared" si="11"/>
        <v>744366.66666666698</v>
      </c>
      <c r="W37" s="67">
        <f t="shared" si="12"/>
        <v>1116550.0000000005</v>
      </c>
      <c r="X37" s="67">
        <f t="shared" si="21"/>
        <v>1116550.0000000005</v>
      </c>
      <c r="Y37" s="67">
        <f t="shared" si="22"/>
        <v>744366.66666666698</v>
      </c>
      <c r="Z37" s="58">
        <f t="shared" si="7"/>
        <v>0</v>
      </c>
    </row>
    <row r="38" spans="2:26" x14ac:dyDescent="0.25">
      <c r="B38" s="67">
        <f t="shared" si="18"/>
        <v>31</v>
      </c>
      <c r="C38" s="67">
        <f t="shared" si="15"/>
        <v>9</v>
      </c>
      <c r="D38" s="67">
        <f t="shared" si="0"/>
        <v>2020</v>
      </c>
      <c r="E38" s="122">
        <f t="shared" si="1"/>
        <v>44104</v>
      </c>
      <c r="F38" s="67">
        <f>IFERROR(HLOOKUP(IF($C$4="Все","Итого:",$C$4),'План продаж'!$L$5:$P$66,MATCH(Расчёт.ПрибылиВсё!$B38,'План продаж'!$B$5:$B$66,0),0),0)</f>
        <v>2805000</v>
      </c>
      <c r="G38" s="67">
        <f t="shared" si="3"/>
        <v>-1116550.0000000005</v>
      </c>
      <c r="H38" s="67">
        <f>IFERROR(HLOOKUP(IF($C$4="Все","Итого:",$C$4),'План продаж'!$Q$5:$U$66,MATCH(Расчёт.ПрибылиВсё!$B38,'План продаж'!$B$5:$B$66,0),0),0)</f>
        <v>1688449.9999999995</v>
      </c>
      <c r="I38" s="67">
        <f>-(HLOOKUP(IF($C$4="Все","Итого:",$C$4),'Расчёт.Постоянные расходы'!$B$5:$I$129,MATCH(Расчёт.ПрибылиВсё!$B38,'Расчёт.Постоянные расходы'!$B$5:$B$130,0),0))</f>
        <v>-560000</v>
      </c>
      <c r="J38" s="67">
        <f>-(HLOOKUP(IF($C$4="Все","Итого:",$C$4),Персонал!$Q$4:$V$129,MATCH(Расчёт.ПрибылиВсё!$B38,Персонал!$O$4:$O$129,0),0))</f>
        <v>-604500</v>
      </c>
      <c r="K38" s="67">
        <f>-SUMIFS(Инвестиции!$M$13:$M$20,Инвестиции!$B$13:$B$20,Расчёт.ПрибылиВсё!$D38)</f>
        <v>-84761.516666666677</v>
      </c>
      <c r="L38" s="67">
        <f t="shared" si="4"/>
        <v>439188.48333333287</v>
      </c>
      <c r="M38" s="67">
        <f>-IF($C$4="Все",SUMIFS('Заёмные средства'!$P:$P,'Заёмные средства'!$F:$F,Расчёт.ПрибылиВсё!$B38),0)</f>
        <v>-11458.33333333333</v>
      </c>
      <c r="N38" s="67">
        <f>IF(IF(Персонал!Y35&gt;(-L38*0.15),(-L38*0.15)+Персонал!Y35*0.5,(-L38*0.15)+Персонал!Y35)&gt;0,-F38*0.01,IF(Персонал!Y35&gt;(-L38*0.15),(-L38*0.15)+Персонал!Y35*0.5,(-L38*0.15)+Персонал!Y35))</f>
        <v>-28050</v>
      </c>
      <c r="P38" s="67">
        <f t="shared" si="8"/>
        <v>74436.666666666701</v>
      </c>
      <c r="Q38" s="67">
        <f t="shared" si="9"/>
        <v>1116550.0000000005</v>
      </c>
      <c r="R38" s="67">
        <f t="shared" si="5"/>
        <v>1116550.0000000005</v>
      </c>
      <c r="S38" s="67">
        <f t="shared" si="10"/>
        <v>74436.666666666701</v>
      </c>
      <c r="T38" s="67">
        <f t="shared" si="6"/>
        <v>0</v>
      </c>
      <c r="U38" s="223"/>
      <c r="V38" s="67">
        <f t="shared" si="11"/>
        <v>744366.66666666698</v>
      </c>
      <c r="W38" s="67">
        <f t="shared" si="12"/>
        <v>1116550.0000000005</v>
      </c>
      <c r="X38" s="67">
        <f t="shared" si="21"/>
        <v>1116550.0000000005</v>
      </c>
      <c r="Y38" s="67">
        <f t="shared" si="22"/>
        <v>744366.66666666698</v>
      </c>
      <c r="Z38" s="58">
        <f t="shared" si="7"/>
        <v>0</v>
      </c>
    </row>
    <row r="39" spans="2:26" x14ac:dyDescent="0.25">
      <c r="B39" s="67">
        <f t="shared" si="18"/>
        <v>32</v>
      </c>
      <c r="C39" s="67">
        <f t="shared" si="15"/>
        <v>10</v>
      </c>
      <c r="D39" s="67">
        <f t="shared" si="0"/>
        <v>2020</v>
      </c>
      <c r="E39" s="122">
        <f t="shared" si="1"/>
        <v>44135</v>
      </c>
      <c r="F39" s="67">
        <f>IFERROR(HLOOKUP(IF($C$4="Все","Итого:",$C$4),'План продаж'!$L$5:$P$66,MATCH(Расчёт.ПрибылиВсё!$B39,'План продаж'!$B$5:$B$66,0),0),0)</f>
        <v>3740000</v>
      </c>
      <c r="G39" s="67">
        <f t="shared" si="3"/>
        <v>-1488733.333333334</v>
      </c>
      <c r="H39" s="67">
        <f>IFERROR(HLOOKUP(IF($C$4="Все","Итого:",$C$4),'План продаж'!$Q$5:$U$66,MATCH(Расчёт.ПрибылиВсё!$B39,'План продаж'!$B$5:$B$66,0),0),0)</f>
        <v>2251266.666666666</v>
      </c>
      <c r="I39" s="67">
        <f>-(HLOOKUP(IF($C$4="Все","Итого:",$C$4),'Расчёт.Постоянные расходы'!$B$5:$I$129,MATCH(Расчёт.ПрибылиВсё!$B39,'Расчёт.Постоянные расходы'!$B$5:$B$130,0),0))</f>
        <v>-560000</v>
      </c>
      <c r="J39" s="67">
        <f>-(HLOOKUP(IF($C$4="Все","Итого:",$C$4),Персонал!$Q$4:$V$129,MATCH(Расчёт.ПрибылиВсё!$B39,Персонал!$O$4:$O$129,0),0))</f>
        <v>-604500</v>
      </c>
      <c r="K39" s="67">
        <f>-SUMIFS(Инвестиции!$M$13:$M$20,Инвестиции!$B$13:$B$20,Расчёт.ПрибылиВсё!$D39)</f>
        <v>-84761.516666666677</v>
      </c>
      <c r="L39" s="67">
        <f t="shared" si="4"/>
        <v>1002005.1499999993</v>
      </c>
      <c r="M39" s="67">
        <f>-IF($C$4="Все",SUMIFS('Заёмные средства'!$P:$P,'Заёмные средства'!$F:$F,Расчёт.ПрибылиВсё!$B39),0)</f>
        <v>-9548.6111111111095</v>
      </c>
      <c r="N39" s="67">
        <f>IF(IF(Персонал!Y36&gt;(-L39*0.15),(-L39*0.15)+Персонал!Y36*0.5,(-L39*0.15)+Персонал!Y36)&gt;0,-F39*0.01,IF(Персонал!Y36&gt;(-L39*0.15),(-L39*0.15)+Персонал!Y36*0.5,(-L39*0.15)+Персонал!Y36))</f>
        <v>-80550.772499999905</v>
      </c>
      <c r="P39" s="67">
        <f t="shared" si="8"/>
        <v>74436.666666666701</v>
      </c>
      <c r="Q39" s="67">
        <f t="shared" si="9"/>
        <v>1513545.5555555562</v>
      </c>
      <c r="R39" s="67">
        <f t="shared" si="5"/>
        <v>1488733.333333334</v>
      </c>
      <c r="S39" s="67">
        <f t="shared" si="10"/>
        <v>99248.888888888934</v>
      </c>
      <c r="T39" s="67">
        <f t="shared" si="6"/>
        <v>24812.222222222234</v>
      </c>
      <c r="U39" s="223"/>
      <c r="V39" s="67">
        <f t="shared" si="11"/>
        <v>744366.66666666698</v>
      </c>
      <c r="W39" s="67">
        <f t="shared" si="12"/>
        <v>1513545.5555555562</v>
      </c>
      <c r="X39" s="67">
        <f t="shared" si="21"/>
        <v>1248881.8518518521</v>
      </c>
      <c r="Y39" s="67">
        <f t="shared" si="22"/>
        <v>1009030.3703703708</v>
      </c>
      <c r="Z39" s="58">
        <f t="shared" si="7"/>
        <v>264663.70370370382</v>
      </c>
    </row>
    <row r="40" spans="2:26" x14ac:dyDescent="0.25">
      <c r="B40" s="67">
        <f t="shared" si="18"/>
        <v>33</v>
      </c>
      <c r="C40" s="67">
        <f t="shared" si="15"/>
        <v>11</v>
      </c>
      <c r="D40" s="67">
        <f t="shared" si="0"/>
        <v>2020</v>
      </c>
      <c r="E40" s="122">
        <f t="shared" si="1"/>
        <v>44165</v>
      </c>
      <c r="F40" s="67">
        <f>IFERROR(HLOOKUP(IF($C$4="Все","Итого:",$C$4),'План продаж'!$L$5:$P$66,MATCH(Расчёт.ПрибылиВсё!$B40,'План продаж'!$B$5:$B$66,0),0),0)</f>
        <v>3740000</v>
      </c>
      <c r="G40" s="67">
        <f t="shared" si="3"/>
        <v>-1488733.333333334</v>
      </c>
      <c r="H40" s="67">
        <f>IFERROR(HLOOKUP(IF($C$4="Все","Итого:",$C$4),'План продаж'!$Q$5:$U$66,MATCH(Расчёт.ПрибылиВсё!$B40,'План продаж'!$B$5:$B$66,0),0),0)</f>
        <v>2251266.666666666</v>
      </c>
      <c r="I40" s="67">
        <f>-(HLOOKUP(IF($C$4="Все","Итого:",$C$4),'Расчёт.Постоянные расходы'!$B$5:$I$129,MATCH(Расчёт.ПрибылиВсё!$B40,'Расчёт.Постоянные расходы'!$B$5:$B$130,0),0))</f>
        <v>-560000</v>
      </c>
      <c r="J40" s="67">
        <f>-(HLOOKUP(IF($C$4="Все","Итого:",$C$4),Персонал!$Q$4:$V$129,MATCH(Расчёт.ПрибылиВсё!$B40,Персонал!$O$4:$O$129,0),0))</f>
        <v>-604500</v>
      </c>
      <c r="K40" s="67">
        <f>-SUMIFS(Инвестиции!$M$13:$M$20,Инвестиции!$B$13:$B$20,Расчёт.ПрибылиВсё!$D40)</f>
        <v>-84761.516666666677</v>
      </c>
      <c r="L40" s="67">
        <f t="shared" si="4"/>
        <v>1002005.1499999993</v>
      </c>
      <c r="M40" s="67">
        <f>-IF($C$4="Все",SUMIFS('Заёмные средства'!$P:$P,'Заёмные средства'!$F:$F,Расчёт.ПрибылиВсё!$B40),0)</f>
        <v>-7638.8888888888869</v>
      </c>
      <c r="N40" s="67">
        <f>IF(IF(Персонал!Y37&gt;(-L40*0.15),(-L40*0.15)+Персонал!Y37*0.5,(-L40*0.15)+Персонал!Y37)&gt;0,-F40*0.01,IF(Персонал!Y37&gt;(-L40*0.15),(-L40*0.15)+Персонал!Y37*0.5,(-L40*0.15)+Персонал!Y37))</f>
        <v>-80550.772499999905</v>
      </c>
      <c r="P40" s="67">
        <f t="shared" si="8"/>
        <v>99248.888888888934</v>
      </c>
      <c r="Q40" s="67">
        <f t="shared" si="9"/>
        <v>1488733.333333334</v>
      </c>
      <c r="R40" s="67">
        <f t="shared" si="5"/>
        <v>1488733.333333334</v>
      </c>
      <c r="S40" s="67">
        <f t="shared" si="10"/>
        <v>99248.888888888934</v>
      </c>
      <c r="T40" s="67">
        <f t="shared" si="6"/>
        <v>0</v>
      </c>
      <c r="U40" s="223"/>
      <c r="V40" s="67">
        <f t="shared" si="11"/>
        <v>1009030.3703703708</v>
      </c>
      <c r="W40" s="67">
        <f t="shared" si="12"/>
        <v>1488733.333333334</v>
      </c>
      <c r="X40" s="67">
        <f t="shared" si="21"/>
        <v>1505274.8148148153</v>
      </c>
      <c r="Y40" s="67">
        <f t="shared" si="22"/>
        <v>992488.88888888934</v>
      </c>
      <c r="Z40" s="58">
        <f t="shared" si="7"/>
        <v>-16541.48148148146</v>
      </c>
    </row>
    <row r="41" spans="2:26" x14ac:dyDescent="0.25">
      <c r="B41" s="67">
        <f t="shared" si="18"/>
        <v>34</v>
      </c>
      <c r="C41" s="67">
        <f t="shared" si="15"/>
        <v>12</v>
      </c>
      <c r="D41" s="67">
        <f t="shared" si="0"/>
        <v>2020</v>
      </c>
      <c r="E41" s="122">
        <f t="shared" si="1"/>
        <v>44196</v>
      </c>
      <c r="F41" s="67">
        <f>IFERROR(HLOOKUP(IF($C$4="Все","Итого:",$C$4),'План продаж'!$L$5:$P$66,MATCH(Расчёт.ПрибылиВсё!$B41,'План продаж'!$B$5:$B$66,0),0),0)</f>
        <v>3740000</v>
      </c>
      <c r="G41" s="67">
        <f t="shared" si="3"/>
        <v>-1488733.333333334</v>
      </c>
      <c r="H41" s="67">
        <f>IFERROR(HLOOKUP(IF($C$4="Все","Итого:",$C$4),'План продаж'!$Q$5:$U$66,MATCH(Расчёт.ПрибылиВсё!$B41,'План продаж'!$B$5:$B$66,0),0),0)</f>
        <v>2251266.666666666</v>
      </c>
      <c r="I41" s="67">
        <f>-(HLOOKUP(IF($C$4="Все","Итого:",$C$4),'Расчёт.Постоянные расходы'!$B$5:$I$129,MATCH(Расчёт.ПрибылиВсё!$B41,'Расчёт.Постоянные расходы'!$B$5:$B$130,0),0))</f>
        <v>-560000</v>
      </c>
      <c r="J41" s="67">
        <f>-(HLOOKUP(IF($C$4="Все","Итого:",$C$4),Персонал!$Q$4:$V$129,MATCH(Расчёт.ПрибылиВсё!$B41,Персонал!$O$4:$O$129,0),0))</f>
        <v>-604500</v>
      </c>
      <c r="K41" s="67">
        <f>-SUMIFS(Инвестиции!$M$13:$M$20,Инвестиции!$B$13:$B$20,Расчёт.ПрибылиВсё!$D41)</f>
        <v>-84761.516666666677</v>
      </c>
      <c r="L41" s="67">
        <f t="shared" si="4"/>
        <v>1002005.1499999993</v>
      </c>
      <c r="M41" s="67">
        <f>-IF($C$4="Все",SUMIFS('Заёмные средства'!$P:$P,'Заёмные средства'!$F:$F,Расчёт.ПрибылиВсё!$B41),0)</f>
        <v>-5729.1666666666652</v>
      </c>
      <c r="N41" s="67">
        <f>IF(IF(Персонал!Y38&gt;(-L41*0.15),(-L41*0.15)+Персонал!Y38*0.5,(-L41*0.15)+Персонал!Y38)&gt;0,-F41*0.01,IF(Персонал!Y38&gt;(-L41*0.15),(-L41*0.15)+Персонал!Y38*0.5,(-L41*0.15)+Персонал!Y38))</f>
        <v>-80550.772499999905</v>
      </c>
      <c r="P41" s="67">
        <f t="shared" si="8"/>
        <v>99248.888888888934</v>
      </c>
      <c r="Q41" s="67">
        <f t="shared" si="9"/>
        <v>1488733.333333334</v>
      </c>
      <c r="R41" s="67">
        <f t="shared" si="5"/>
        <v>1488733.333333334</v>
      </c>
      <c r="S41" s="67">
        <f t="shared" si="10"/>
        <v>99248.888888888934</v>
      </c>
      <c r="T41" s="67">
        <f t="shared" si="6"/>
        <v>0</v>
      </c>
      <c r="U41" s="223"/>
      <c r="V41" s="67">
        <f t="shared" si="11"/>
        <v>992488.88888888934</v>
      </c>
      <c r="W41" s="67">
        <f t="shared" si="12"/>
        <v>1488733.333333334</v>
      </c>
      <c r="X41" s="67">
        <f t="shared" si="21"/>
        <v>1488733.333333334</v>
      </c>
      <c r="Y41" s="67">
        <f t="shared" si="22"/>
        <v>992488.88888888934</v>
      </c>
      <c r="Z41" s="58">
        <f t="shared" si="7"/>
        <v>0</v>
      </c>
    </row>
    <row r="42" spans="2:26" x14ac:dyDescent="0.25">
      <c r="B42" s="67">
        <f t="shared" si="18"/>
        <v>35</v>
      </c>
      <c r="C42" s="67">
        <f t="shared" si="15"/>
        <v>1</v>
      </c>
      <c r="D42" s="67">
        <f t="shared" si="0"/>
        <v>2021</v>
      </c>
      <c r="E42" s="122">
        <f t="shared" si="1"/>
        <v>44227</v>
      </c>
      <c r="F42" s="67">
        <f>IFERROR(HLOOKUP(IF($C$4="Все","Итого:",$C$4),'План продаж'!$L$5:$P$66,MATCH(Расчёт.ПрибылиВсё!$B42,'План продаж'!$B$5:$B$66,0),0),0)</f>
        <v>3740000</v>
      </c>
      <c r="G42" s="67">
        <f t="shared" si="3"/>
        <v>-1488733.333333334</v>
      </c>
      <c r="H42" s="67">
        <f>IFERROR(HLOOKUP(IF($C$4="Все","Итого:",$C$4),'План продаж'!$Q$5:$U$66,MATCH(Расчёт.ПрибылиВсё!$B42,'План продаж'!$B$5:$B$66,0),0),0)</f>
        <v>2251266.666666666</v>
      </c>
      <c r="I42" s="67">
        <f>-(HLOOKUP(IF($C$4="Все","Итого:",$C$4),'Расчёт.Постоянные расходы'!$B$5:$I$129,MATCH(Расчёт.ПрибылиВсё!$B42,'Расчёт.Постоянные расходы'!$B$5:$B$130,0),0))</f>
        <v>-560000</v>
      </c>
      <c r="J42" s="67">
        <f>-(HLOOKUP(IF($C$4="Все","Итого:",$C$4),Персонал!$Q$4:$V$129,MATCH(Расчёт.ПрибылиВсё!$B42,Персонал!$O$4:$O$129,0),0))</f>
        <v>-604500</v>
      </c>
      <c r="K42" s="67">
        <f>-SUMIFS(Инвестиции!$M$13:$M$20,Инвестиции!$B$13:$B$20,Расчёт.ПрибылиВсё!$D42)</f>
        <v>-84761.516666666677</v>
      </c>
      <c r="L42" s="67">
        <f t="shared" si="4"/>
        <v>1002005.1499999993</v>
      </c>
      <c r="M42" s="67">
        <f>-IF($C$4="Все",SUMIFS('Заёмные средства'!$P:$P,'Заёмные средства'!$F:$F,Расчёт.ПрибылиВсё!$B42),0)</f>
        <v>-3819.4444444444434</v>
      </c>
      <c r="N42" s="67">
        <f>IF(IF(Персонал!Y39&gt;(-L42*0.15),(-L42*0.15)+Персонал!Y39*0.5,(-L42*0.15)+Персонал!Y39)&gt;0,-F42*0.01,IF(Персонал!Y39&gt;(-L42*0.15),(-L42*0.15)+Персонал!Y39*0.5,(-L42*0.15)+Персонал!Y39))</f>
        <v>-80550.772499999905</v>
      </c>
      <c r="P42" s="67">
        <f t="shared" si="8"/>
        <v>99248.888888888934</v>
      </c>
      <c r="Q42" s="67">
        <f t="shared" si="9"/>
        <v>1488733.333333334</v>
      </c>
      <c r="R42" s="67">
        <f t="shared" si="5"/>
        <v>1488733.333333334</v>
      </c>
      <c r="S42" s="67">
        <f t="shared" si="10"/>
        <v>99248.888888888934</v>
      </c>
      <c r="T42" s="67">
        <f t="shared" si="6"/>
        <v>0</v>
      </c>
      <c r="U42" s="223"/>
      <c r="V42" s="67">
        <f t="shared" si="11"/>
        <v>992488.88888888934</v>
      </c>
      <c r="W42" s="67">
        <f t="shared" si="12"/>
        <v>1488733.333333334</v>
      </c>
      <c r="X42" s="67">
        <f t="shared" si="21"/>
        <v>1488733.333333334</v>
      </c>
      <c r="Y42" s="67">
        <f t="shared" si="22"/>
        <v>992488.88888888934</v>
      </c>
      <c r="Z42" s="58">
        <f t="shared" si="7"/>
        <v>0</v>
      </c>
    </row>
    <row r="43" spans="2:26" x14ac:dyDescent="0.25">
      <c r="B43" s="67">
        <f t="shared" si="18"/>
        <v>36</v>
      </c>
      <c r="C43" s="67">
        <f t="shared" si="15"/>
        <v>2</v>
      </c>
      <c r="D43" s="67">
        <f t="shared" si="0"/>
        <v>2021</v>
      </c>
      <c r="E43" s="122">
        <f t="shared" si="1"/>
        <v>44255</v>
      </c>
      <c r="F43" s="67">
        <f>IFERROR(HLOOKUP(IF($C$4="Все","Итого:",$C$4),'План продаж'!$L$5:$P$66,MATCH(Расчёт.ПрибылиВсё!$B43,'План продаж'!$B$5:$B$66,0),0),0)</f>
        <v>3740000</v>
      </c>
      <c r="G43" s="67">
        <f t="shared" si="3"/>
        <v>-1488733.333333334</v>
      </c>
      <c r="H43" s="67">
        <f>IFERROR(HLOOKUP(IF($C$4="Все","Итого:",$C$4),'План продаж'!$Q$5:$U$66,MATCH(Расчёт.ПрибылиВсё!$B43,'План продаж'!$B$5:$B$66,0),0),0)</f>
        <v>2251266.666666666</v>
      </c>
      <c r="I43" s="67">
        <f>-(HLOOKUP(IF($C$4="Все","Итого:",$C$4),'Расчёт.Постоянные расходы'!$B$5:$I$129,MATCH(Расчёт.ПрибылиВсё!$B43,'Расчёт.Постоянные расходы'!$B$5:$B$130,0),0))</f>
        <v>-560000</v>
      </c>
      <c r="J43" s="67">
        <f>-(HLOOKUP(IF($C$4="Все","Итого:",$C$4),Персонал!$Q$4:$V$129,MATCH(Расчёт.ПрибылиВсё!$B43,Персонал!$O$4:$O$129,0),0))</f>
        <v>-604500</v>
      </c>
      <c r="K43" s="67">
        <f>-SUMIFS(Инвестиции!$M$13:$M$20,Инвестиции!$B$13:$B$20,Расчёт.ПрибылиВсё!$D43)</f>
        <v>-84761.516666666677</v>
      </c>
      <c r="L43" s="67">
        <f t="shared" si="4"/>
        <v>1002005.1499999993</v>
      </c>
      <c r="M43" s="67">
        <f>-IF($C$4="Все",SUMIFS('Заёмные средства'!$P:$P,'Заёмные средства'!$F:$F,Расчёт.ПрибылиВсё!$B43),0)</f>
        <v>-1909.7222222222217</v>
      </c>
      <c r="N43" s="67">
        <f>IF(IF(Персонал!Y40&gt;(-L43*0.15),(-L43*0.15)+Персонал!Y40*0.5,(-L43*0.15)+Персонал!Y40)&gt;0,-F43*0.01,IF(Персонал!Y40&gt;(-L43*0.15),(-L43*0.15)+Персонал!Y40*0.5,(-L43*0.15)+Персонал!Y40))</f>
        <v>-80550.772499999905</v>
      </c>
      <c r="P43" s="67">
        <f t="shared" si="8"/>
        <v>99248.888888888934</v>
      </c>
      <c r="Q43" s="67">
        <f t="shared" si="9"/>
        <v>1488733.333333334</v>
      </c>
      <c r="R43" s="67">
        <f t="shared" si="5"/>
        <v>1488733.333333334</v>
      </c>
      <c r="S43" s="67">
        <f t="shared" si="10"/>
        <v>99248.888888888934</v>
      </c>
      <c r="T43" s="67">
        <f t="shared" si="6"/>
        <v>0</v>
      </c>
      <c r="U43" s="223"/>
      <c r="V43" s="67">
        <f t="shared" si="11"/>
        <v>992488.88888888934</v>
      </c>
      <c r="W43" s="67">
        <f t="shared" si="12"/>
        <v>1488733.333333334</v>
      </c>
      <c r="X43" s="67">
        <f t="shared" si="21"/>
        <v>1488733.333333334</v>
      </c>
      <c r="Y43" s="67">
        <f t="shared" si="22"/>
        <v>992488.88888888934</v>
      </c>
      <c r="Z43" s="58">
        <f t="shared" si="7"/>
        <v>0</v>
      </c>
    </row>
    <row r="44" spans="2:26" x14ac:dyDescent="0.25">
      <c r="B44" s="67">
        <f t="shared" si="18"/>
        <v>37</v>
      </c>
      <c r="C44" s="67">
        <f t="shared" si="15"/>
        <v>3</v>
      </c>
      <c r="D44" s="67">
        <f t="shared" si="0"/>
        <v>2021</v>
      </c>
      <c r="E44" s="122">
        <f t="shared" si="1"/>
        <v>44286</v>
      </c>
      <c r="F44" s="67">
        <f>IFERROR(HLOOKUP(IF($C$4="Все","Итого:",$C$4),'План продаж'!$L$5:$P$66,MATCH(Расчёт.ПрибылиВсё!$B44,'План продаж'!$B$5:$B$66,0),0),0)</f>
        <v>3740000</v>
      </c>
      <c r="G44" s="67">
        <f t="shared" si="3"/>
        <v>-1488733.333333334</v>
      </c>
      <c r="H44" s="67">
        <f>IFERROR(HLOOKUP(IF($C$4="Все","Итого:",$C$4),'План продаж'!$Q$5:$U$66,MATCH(Расчёт.ПрибылиВсё!$B44,'План продаж'!$B$5:$B$66,0),0),0)</f>
        <v>2251266.666666666</v>
      </c>
      <c r="I44" s="67">
        <f>-(HLOOKUP(IF($C$4="Все","Итого:",$C$4),'Расчёт.Постоянные расходы'!$B$5:$I$129,MATCH(Расчёт.ПрибылиВсё!$B44,'Расчёт.Постоянные расходы'!$B$5:$B$130,0),0))</f>
        <v>-560000</v>
      </c>
      <c r="J44" s="67">
        <f>-(HLOOKUP(IF($C$4="Все","Итого:",$C$4),Персонал!$Q$4:$V$129,MATCH(Расчёт.ПрибылиВсё!$B44,Персонал!$O$4:$O$129,0),0))</f>
        <v>-604500</v>
      </c>
      <c r="K44" s="67">
        <f>-SUMIFS(Инвестиции!$M$13:$M$20,Инвестиции!$B$13:$B$20,Расчёт.ПрибылиВсё!$D44)</f>
        <v>-84761.516666666677</v>
      </c>
      <c r="L44" s="67">
        <f t="shared" si="4"/>
        <v>1002005.1499999993</v>
      </c>
      <c r="M44" s="67">
        <f>-IF($C$4="Все",SUMIFS('Заёмные средства'!$P:$P,'Заёмные средства'!$F:$F,Расчёт.ПрибылиВсё!$B44),0)</f>
        <v>0</v>
      </c>
      <c r="N44" s="67">
        <f>IF(IF(Персонал!Y41&gt;(-L44*0.15),(-L44*0.15)+Персонал!Y41*0.5,(-L44*0.15)+Персонал!Y41)&gt;0,-F44*0.01,IF(Персонал!Y41&gt;(-L44*0.15),(-L44*0.15)+Персонал!Y41*0.5,(-L44*0.15)+Персонал!Y41))</f>
        <v>-80550.772499999905</v>
      </c>
      <c r="P44" s="67">
        <f t="shared" si="8"/>
        <v>99248.888888888934</v>
      </c>
      <c r="Q44" s="67">
        <f t="shared" si="9"/>
        <v>1488733.333333334</v>
      </c>
      <c r="R44" s="67">
        <f t="shared" si="5"/>
        <v>1488733.333333334</v>
      </c>
      <c r="S44" s="67">
        <f t="shared" si="10"/>
        <v>99248.888888888934</v>
      </c>
      <c r="T44" s="67">
        <f t="shared" si="6"/>
        <v>0</v>
      </c>
      <c r="U44" s="223"/>
      <c r="V44" s="67">
        <f t="shared" si="11"/>
        <v>992488.88888888934</v>
      </c>
      <c r="W44" s="67">
        <f t="shared" si="12"/>
        <v>1488733.333333334</v>
      </c>
      <c r="X44" s="67">
        <f t="shared" si="21"/>
        <v>1488733.333333334</v>
      </c>
      <c r="Y44" s="67">
        <f t="shared" si="22"/>
        <v>992488.88888888934</v>
      </c>
      <c r="Z44" s="58">
        <f t="shared" si="7"/>
        <v>0</v>
      </c>
    </row>
    <row r="45" spans="2:26" x14ac:dyDescent="0.25">
      <c r="B45" s="67">
        <f t="shared" si="18"/>
        <v>38</v>
      </c>
      <c r="C45" s="67">
        <f t="shared" si="15"/>
        <v>4</v>
      </c>
      <c r="D45" s="67">
        <f t="shared" si="0"/>
        <v>2021</v>
      </c>
      <c r="E45" s="122">
        <f t="shared" si="1"/>
        <v>44316</v>
      </c>
      <c r="F45" s="67">
        <f>IFERROR(HLOOKUP(IF($C$4="Все","Итого:",$C$4),'План продаж'!$L$5:$P$66,MATCH(Расчёт.ПрибылиВсё!$B45,'План продаж'!$B$5:$B$66,0),0),0)</f>
        <v>3740000</v>
      </c>
      <c r="G45" s="67">
        <f t="shared" si="3"/>
        <v>-1488733.333333334</v>
      </c>
      <c r="H45" s="67">
        <f>IFERROR(HLOOKUP(IF($C$4="Все","Итого:",$C$4),'План продаж'!$Q$5:$U$66,MATCH(Расчёт.ПрибылиВсё!$B45,'План продаж'!$B$5:$B$66,0),0),0)</f>
        <v>2251266.666666666</v>
      </c>
      <c r="I45" s="67">
        <f>-(HLOOKUP(IF($C$4="Все","Итого:",$C$4),'Расчёт.Постоянные расходы'!$B$5:$I$129,MATCH(Расчёт.ПрибылиВсё!$B45,'Расчёт.Постоянные расходы'!$B$5:$B$130,0),0))</f>
        <v>-560000</v>
      </c>
      <c r="J45" s="67">
        <f>-(HLOOKUP(IF($C$4="Все","Итого:",$C$4),Персонал!$Q$4:$V$129,MATCH(Расчёт.ПрибылиВсё!$B45,Персонал!$O$4:$O$129,0),0))</f>
        <v>-604500</v>
      </c>
      <c r="K45" s="67">
        <f>-SUMIFS(Инвестиции!$M$13:$M$20,Инвестиции!$B$13:$B$20,Расчёт.ПрибылиВсё!$D45)</f>
        <v>-84761.516666666677</v>
      </c>
      <c r="L45" s="67">
        <f t="shared" si="4"/>
        <v>1002005.1499999993</v>
      </c>
      <c r="M45" s="67">
        <f>-IF($C$4="Все",SUMIFS('Заёмные средства'!$P:$P,'Заёмные средства'!$F:$F,Расчёт.ПрибылиВсё!$B45),0)</f>
        <v>0</v>
      </c>
      <c r="N45" s="67">
        <f>IF(IF(Персонал!Y42&gt;(-L45*0.15),(-L45*0.15)+Персонал!Y42*0.5,(-L45*0.15)+Персонал!Y42)&gt;0,-F45*0.01,IF(Персонал!Y42&gt;(-L45*0.15),(-L45*0.15)+Персонал!Y42*0.5,(-L45*0.15)+Персонал!Y42))</f>
        <v>-80550.772499999905</v>
      </c>
      <c r="P45" s="67">
        <f t="shared" si="8"/>
        <v>99248.888888888934</v>
      </c>
      <c r="Q45" s="67">
        <f t="shared" si="9"/>
        <v>1488733.333333334</v>
      </c>
      <c r="R45" s="67">
        <f t="shared" si="5"/>
        <v>1488733.333333334</v>
      </c>
      <c r="S45" s="67">
        <f t="shared" si="10"/>
        <v>99248.888888888934</v>
      </c>
      <c r="T45" s="67">
        <f t="shared" si="6"/>
        <v>0</v>
      </c>
      <c r="U45" s="223"/>
      <c r="V45" s="67">
        <f t="shared" si="11"/>
        <v>992488.88888888934</v>
      </c>
      <c r="W45" s="67">
        <f t="shared" si="12"/>
        <v>1488733.333333334</v>
      </c>
      <c r="X45" s="67">
        <f t="shared" ref="X45:X63" si="23">V45+W45-Y45</f>
        <v>1488733.333333334</v>
      </c>
      <c r="Y45" s="67">
        <f t="shared" ref="Y45:Y62" si="24">W45/30*20</f>
        <v>992488.88888888934</v>
      </c>
      <c r="Z45" s="58">
        <f t="shared" si="7"/>
        <v>0</v>
      </c>
    </row>
    <row r="46" spans="2:26" x14ac:dyDescent="0.25">
      <c r="B46" s="67">
        <f t="shared" si="18"/>
        <v>39</v>
      </c>
      <c r="C46" s="67">
        <f t="shared" si="15"/>
        <v>5</v>
      </c>
      <c r="D46" s="67">
        <f t="shared" si="0"/>
        <v>2021</v>
      </c>
      <c r="E46" s="122">
        <f t="shared" si="1"/>
        <v>44347</v>
      </c>
      <c r="F46" s="67">
        <f>IFERROR(HLOOKUP(IF($C$4="Все","Итого:",$C$4),'План продаж'!$L$5:$P$66,MATCH(Расчёт.ПрибылиВсё!$B46,'План продаж'!$B$5:$B$66,0),0),0)</f>
        <v>2805000</v>
      </c>
      <c r="G46" s="67">
        <f t="shared" si="3"/>
        <v>-1116550.0000000005</v>
      </c>
      <c r="H46" s="67">
        <f>IFERROR(HLOOKUP(IF($C$4="Все","Итого:",$C$4),'План продаж'!$Q$5:$U$66,MATCH(Расчёт.ПрибылиВсё!$B46,'План продаж'!$B$5:$B$66,0),0),0)</f>
        <v>1688449.9999999995</v>
      </c>
      <c r="I46" s="67">
        <f>-(HLOOKUP(IF($C$4="Все","Итого:",$C$4),'Расчёт.Постоянные расходы'!$B$5:$I$129,MATCH(Расчёт.ПрибылиВсё!$B46,'Расчёт.Постоянные расходы'!$B$5:$B$130,0),0))</f>
        <v>-560000</v>
      </c>
      <c r="J46" s="67">
        <f>-(HLOOKUP(IF($C$4="Все","Итого:",$C$4),Персонал!$Q$4:$V$129,MATCH(Расчёт.ПрибылиВсё!$B46,Персонал!$O$4:$O$129,0),0))</f>
        <v>-604500</v>
      </c>
      <c r="K46" s="67">
        <f>-SUMIFS(Инвестиции!$M$13:$M$20,Инвестиции!$B$13:$B$20,Расчёт.ПрибылиВсё!$D46)</f>
        <v>-84761.516666666677</v>
      </c>
      <c r="L46" s="67">
        <f t="shared" si="4"/>
        <v>439188.48333333287</v>
      </c>
      <c r="M46" s="67">
        <f>-IF($C$4="Все",SUMIFS('Заёмные средства'!$P:$P,'Заёмные средства'!$F:$F,Расчёт.ПрибылиВсё!$B46),0)</f>
        <v>0</v>
      </c>
      <c r="N46" s="67">
        <f>IF(IF(Персонал!Y43&gt;(-L46*0.15),(-L46*0.15)+Персонал!Y43*0.5,(-L46*0.15)+Персонал!Y43)&gt;0,-F46*0.01,IF(Персонал!Y43&gt;(-L46*0.15),(-L46*0.15)+Персонал!Y43*0.5,(-L46*0.15)+Персонал!Y43))</f>
        <v>-28050</v>
      </c>
      <c r="P46" s="67">
        <f t="shared" si="8"/>
        <v>99248.888888888934</v>
      </c>
      <c r="Q46" s="67">
        <f t="shared" si="9"/>
        <v>1091737.7777777782</v>
      </c>
      <c r="R46" s="67">
        <f t="shared" si="5"/>
        <v>1116550.0000000005</v>
      </c>
      <c r="S46" s="67">
        <f t="shared" si="10"/>
        <v>74436.666666666701</v>
      </c>
      <c r="T46" s="67">
        <f t="shared" si="6"/>
        <v>-24812.222222222234</v>
      </c>
      <c r="U46" s="223"/>
      <c r="V46" s="67">
        <f t="shared" si="11"/>
        <v>992488.88888888934</v>
      </c>
      <c r="W46" s="67">
        <f t="shared" si="12"/>
        <v>1091737.7777777782</v>
      </c>
      <c r="X46" s="67">
        <f t="shared" si="23"/>
        <v>1356401.4814814818</v>
      </c>
      <c r="Y46" s="67">
        <f t="shared" si="24"/>
        <v>727825.18518518552</v>
      </c>
      <c r="Z46" s="58">
        <f t="shared" si="7"/>
        <v>-264663.70370370382</v>
      </c>
    </row>
    <row r="47" spans="2:26" x14ac:dyDescent="0.25">
      <c r="B47" s="67">
        <f t="shared" si="18"/>
        <v>40</v>
      </c>
      <c r="C47" s="67">
        <f t="shared" si="15"/>
        <v>6</v>
      </c>
      <c r="D47" s="67">
        <f t="shared" si="0"/>
        <v>2021</v>
      </c>
      <c r="E47" s="122">
        <f t="shared" si="1"/>
        <v>44377</v>
      </c>
      <c r="F47" s="67">
        <f>IFERROR(HLOOKUP(IF($C$4="Все","Итого:",$C$4),'План продаж'!$L$5:$P$66,MATCH(Расчёт.ПрибылиВсё!$B47,'План продаж'!$B$5:$B$66,0),0),0)</f>
        <v>2805000</v>
      </c>
      <c r="G47" s="67">
        <f t="shared" si="3"/>
        <v>-1116550.0000000005</v>
      </c>
      <c r="H47" s="67">
        <f>IFERROR(HLOOKUP(IF($C$4="Все","Итого:",$C$4),'План продаж'!$Q$5:$U$66,MATCH(Расчёт.ПрибылиВсё!$B47,'План продаж'!$B$5:$B$66,0),0),0)</f>
        <v>1688449.9999999995</v>
      </c>
      <c r="I47" s="67">
        <f>-(HLOOKUP(IF($C$4="Все","Итого:",$C$4),'Расчёт.Постоянные расходы'!$B$5:$I$129,MATCH(Расчёт.ПрибылиВсё!$B47,'Расчёт.Постоянные расходы'!$B$5:$B$130,0),0))</f>
        <v>-560000</v>
      </c>
      <c r="J47" s="67">
        <f>-(HLOOKUP(IF($C$4="Все","Итого:",$C$4),Персонал!$Q$4:$V$129,MATCH(Расчёт.ПрибылиВсё!$B47,Персонал!$O$4:$O$129,0),0))</f>
        <v>-604500</v>
      </c>
      <c r="K47" s="67">
        <f>-SUMIFS(Инвестиции!$M$13:$M$20,Инвестиции!$B$13:$B$20,Расчёт.ПрибылиВсё!$D47)</f>
        <v>-84761.516666666677</v>
      </c>
      <c r="L47" s="67">
        <f t="shared" si="4"/>
        <v>439188.48333333287</v>
      </c>
      <c r="M47" s="67">
        <f>-IF($C$4="Все",SUMIFS('Заёмные средства'!$P:$P,'Заёмные средства'!$F:$F,Расчёт.ПрибылиВсё!$B47),0)</f>
        <v>0</v>
      </c>
      <c r="N47" s="67">
        <f>IF(IF(Персонал!Y44&gt;(-L47*0.15),(-L47*0.15)+Персонал!Y44*0.5,(-L47*0.15)+Персонал!Y44)&gt;0,-F47*0.01,IF(Персонал!Y44&gt;(-L47*0.15),(-L47*0.15)+Персонал!Y44*0.5,(-L47*0.15)+Персонал!Y44))</f>
        <v>-28050</v>
      </c>
      <c r="P47" s="67">
        <f t="shared" si="8"/>
        <v>74436.666666666701</v>
      </c>
      <c r="Q47" s="67">
        <f t="shared" si="9"/>
        <v>1116550.0000000005</v>
      </c>
      <c r="R47" s="67">
        <f t="shared" si="5"/>
        <v>1116550.0000000005</v>
      </c>
      <c r="S47" s="67">
        <f t="shared" si="10"/>
        <v>74436.666666666701</v>
      </c>
      <c r="T47" s="67">
        <f t="shared" si="6"/>
        <v>0</v>
      </c>
      <c r="U47" s="223"/>
      <c r="V47" s="67">
        <f t="shared" si="11"/>
        <v>727825.18518518552</v>
      </c>
      <c r="W47" s="67">
        <f t="shared" si="12"/>
        <v>1116550.0000000005</v>
      </c>
      <c r="X47" s="67">
        <f t="shared" si="23"/>
        <v>1100008.5185185191</v>
      </c>
      <c r="Y47" s="67">
        <f t="shared" si="24"/>
        <v>744366.66666666698</v>
      </c>
      <c r="Z47" s="58">
        <f t="shared" si="7"/>
        <v>16541.48148148146</v>
      </c>
    </row>
    <row r="48" spans="2:26" x14ac:dyDescent="0.25">
      <c r="B48" s="67">
        <f t="shared" si="18"/>
        <v>41</v>
      </c>
      <c r="C48" s="67">
        <f t="shared" si="15"/>
        <v>7</v>
      </c>
      <c r="D48" s="67">
        <f t="shared" si="0"/>
        <v>2021</v>
      </c>
      <c r="E48" s="122">
        <f t="shared" si="1"/>
        <v>44408</v>
      </c>
      <c r="F48" s="67">
        <f>IFERROR(HLOOKUP(IF($C$4="Все","Итого:",$C$4),'План продаж'!$L$5:$P$66,MATCH(Расчёт.ПрибылиВсё!$B48,'План продаж'!$B$5:$B$66,0),0),0)</f>
        <v>2805000</v>
      </c>
      <c r="G48" s="67">
        <f t="shared" si="3"/>
        <v>-1116550.0000000005</v>
      </c>
      <c r="H48" s="67">
        <f>IFERROR(HLOOKUP(IF($C$4="Все","Итого:",$C$4),'План продаж'!$Q$5:$U$66,MATCH(Расчёт.ПрибылиВсё!$B48,'План продаж'!$B$5:$B$66,0),0),0)</f>
        <v>1688449.9999999995</v>
      </c>
      <c r="I48" s="67">
        <f>-(HLOOKUP(IF($C$4="Все","Итого:",$C$4),'Расчёт.Постоянные расходы'!$B$5:$I$129,MATCH(Расчёт.ПрибылиВсё!$B48,'Расчёт.Постоянные расходы'!$B$5:$B$130,0),0))</f>
        <v>-560000</v>
      </c>
      <c r="J48" s="67">
        <f>-(HLOOKUP(IF($C$4="Все","Итого:",$C$4),Персонал!$Q$4:$V$129,MATCH(Расчёт.ПрибылиВсё!$B48,Персонал!$O$4:$O$129,0),0))</f>
        <v>-604500</v>
      </c>
      <c r="K48" s="67">
        <f>-SUMIFS(Инвестиции!$M$13:$M$20,Инвестиции!$B$13:$B$20,Расчёт.ПрибылиВсё!$D48)</f>
        <v>-84761.516666666677</v>
      </c>
      <c r="L48" s="67">
        <f t="shared" si="4"/>
        <v>439188.48333333287</v>
      </c>
      <c r="M48" s="67">
        <f>-IF($C$4="Все",SUMIFS('Заёмные средства'!$P:$P,'Заёмные средства'!$F:$F,Расчёт.ПрибылиВсё!$B48),0)</f>
        <v>0</v>
      </c>
      <c r="N48" s="67">
        <f>IF(IF(Персонал!Y45&gt;(-L48*0.15),(-L48*0.15)+Персонал!Y45*0.5,(-L48*0.15)+Персонал!Y45)&gt;0,-F48*0.01,IF(Персонал!Y45&gt;(-L48*0.15),(-L48*0.15)+Персонал!Y45*0.5,(-L48*0.15)+Персонал!Y45))</f>
        <v>-28050</v>
      </c>
      <c r="P48" s="67">
        <f t="shared" si="8"/>
        <v>74436.666666666701</v>
      </c>
      <c r="Q48" s="67">
        <f t="shared" si="9"/>
        <v>1116550.0000000005</v>
      </c>
      <c r="R48" s="67">
        <f t="shared" si="5"/>
        <v>1116550.0000000005</v>
      </c>
      <c r="S48" s="67">
        <f t="shared" si="10"/>
        <v>74436.666666666701</v>
      </c>
      <c r="T48" s="67">
        <f t="shared" si="6"/>
        <v>0</v>
      </c>
      <c r="U48" s="223"/>
      <c r="V48" s="67">
        <f t="shared" si="11"/>
        <v>744366.66666666698</v>
      </c>
      <c r="W48" s="67">
        <f t="shared" si="12"/>
        <v>1116550.0000000005</v>
      </c>
      <c r="X48" s="67">
        <f t="shared" si="23"/>
        <v>1116550.0000000005</v>
      </c>
      <c r="Y48" s="67">
        <f t="shared" si="24"/>
        <v>744366.66666666698</v>
      </c>
      <c r="Z48" s="58">
        <f t="shared" si="7"/>
        <v>0</v>
      </c>
    </row>
    <row r="49" spans="2:26" x14ac:dyDescent="0.25">
      <c r="B49" s="67">
        <f t="shared" si="18"/>
        <v>42</v>
      </c>
      <c r="C49" s="67">
        <f t="shared" si="15"/>
        <v>8</v>
      </c>
      <c r="D49" s="67">
        <f t="shared" si="0"/>
        <v>2021</v>
      </c>
      <c r="E49" s="122">
        <f t="shared" si="1"/>
        <v>44439</v>
      </c>
      <c r="F49" s="67">
        <f>IFERROR(HLOOKUP(IF($C$4="Все","Итого:",$C$4),'План продаж'!$L$5:$P$66,MATCH(Расчёт.ПрибылиВсё!$B49,'План продаж'!$B$5:$B$66,0),0),0)</f>
        <v>2805000</v>
      </c>
      <c r="G49" s="67">
        <f t="shared" si="3"/>
        <v>-1116550.0000000005</v>
      </c>
      <c r="H49" s="67">
        <f>IFERROR(HLOOKUP(IF($C$4="Все","Итого:",$C$4),'План продаж'!$Q$5:$U$66,MATCH(Расчёт.ПрибылиВсё!$B49,'План продаж'!$B$5:$B$66,0),0),0)</f>
        <v>1688449.9999999995</v>
      </c>
      <c r="I49" s="67">
        <f>-(HLOOKUP(IF($C$4="Все","Итого:",$C$4),'Расчёт.Постоянные расходы'!$B$5:$I$129,MATCH(Расчёт.ПрибылиВсё!$B49,'Расчёт.Постоянные расходы'!$B$5:$B$130,0),0))</f>
        <v>-560000</v>
      </c>
      <c r="J49" s="67">
        <f>-(HLOOKUP(IF($C$4="Все","Итого:",$C$4),Персонал!$Q$4:$V$129,MATCH(Расчёт.ПрибылиВсё!$B49,Персонал!$O$4:$O$129,0),0))</f>
        <v>-604500</v>
      </c>
      <c r="K49" s="67">
        <f>-SUMIFS(Инвестиции!$M$13:$M$20,Инвестиции!$B$13:$B$20,Расчёт.ПрибылиВсё!$D49)</f>
        <v>-84761.516666666677</v>
      </c>
      <c r="L49" s="67">
        <f t="shared" si="4"/>
        <v>439188.48333333287</v>
      </c>
      <c r="M49" s="67">
        <f>-IF($C$4="Все",SUMIFS('Заёмные средства'!$P:$P,'Заёмные средства'!$F:$F,Расчёт.ПрибылиВсё!$B49),0)</f>
        <v>0</v>
      </c>
      <c r="N49" s="67">
        <f>IF(IF(Персонал!Y46&gt;(-L49*0.15),(-L49*0.15)+Персонал!Y46*0.5,(-L49*0.15)+Персонал!Y46)&gt;0,-F49*0.01,IF(Персонал!Y46&gt;(-L49*0.15),(-L49*0.15)+Персонал!Y46*0.5,(-L49*0.15)+Персонал!Y46))</f>
        <v>-28050</v>
      </c>
      <c r="P49" s="67">
        <f t="shared" si="8"/>
        <v>74436.666666666701</v>
      </c>
      <c r="Q49" s="67">
        <f t="shared" si="9"/>
        <v>1116550.0000000005</v>
      </c>
      <c r="R49" s="67">
        <f t="shared" si="5"/>
        <v>1116550.0000000005</v>
      </c>
      <c r="S49" s="67">
        <f t="shared" si="10"/>
        <v>74436.666666666701</v>
      </c>
      <c r="T49" s="67">
        <f t="shared" si="6"/>
        <v>0</v>
      </c>
      <c r="U49" s="223"/>
      <c r="V49" s="67">
        <f t="shared" si="11"/>
        <v>744366.66666666698</v>
      </c>
      <c r="W49" s="67">
        <f t="shared" si="12"/>
        <v>1116550.0000000005</v>
      </c>
      <c r="X49" s="67">
        <f t="shared" si="23"/>
        <v>1116550.0000000005</v>
      </c>
      <c r="Y49" s="67">
        <f t="shared" si="24"/>
        <v>744366.66666666698</v>
      </c>
      <c r="Z49" s="58">
        <f t="shared" si="7"/>
        <v>0</v>
      </c>
    </row>
    <row r="50" spans="2:26" x14ac:dyDescent="0.25">
      <c r="B50" s="67">
        <f t="shared" si="18"/>
        <v>43</v>
      </c>
      <c r="C50" s="67">
        <f t="shared" si="15"/>
        <v>9</v>
      </c>
      <c r="D50" s="67">
        <f t="shared" si="0"/>
        <v>2021</v>
      </c>
      <c r="E50" s="122">
        <f t="shared" si="1"/>
        <v>44469</v>
      </c>
      <c r="F50" s="67">
        <f>IFERROR(HLOOKUP(IF($C$4="Все","Итого:",$C$4),'План продаж'!$L$5:$P$66,MATCH(Расчёт.ПрибылиВсё!$B50,'План продаж'!$B$5:$B$66,0),0),0)</f>
        <v>2805000</v>
      </c>
      <c r="G50" s="67">
        <f t="shared" si="3"/>
        <v>-1116550.0000000005</v>
      </c>
      <c r="H50" s="67">
        <f>IFERROR(HLOOKUP(IF($C$4="Все","Итого:",$C$4),'План продаж'!$Q$5:$U$66,MATCH(Расчёт.ПрибылиВсё!$B50,'План продаж'!$B$5:$B$66,0),0),0)</f>
        <v>1688449.9999999995</v>
      </c>
      <c r="I50" s="67">
        <f>-(HLOOKUP(IF($C$4="Все","Итого:",$C$4),'Расчёт.Постоянные расходы'!$B$5:$I$129,MATCH(Расчёт.ПрибылиВсё!$B50,'Расчёт.Постоянные расходы'!$B$5:$B$130,0),0))</f>
        <v>-560000</v>
      </c>
      <c r="J50" s="67">
        <f>-(HLOOKUP(IF($C$4="Все","Итого:",$C$4),Персонал!$Q$4:$V$129,MATCH(Расчёт.ПрибылиВсё!$B50,Персонал!$O$4:$O$129,0),0))</f>
        <v>-604500</v>
      </c>
      <c r="K50" s="67">
        <f>-SUMIFS(Инвестиции!$M$13:$M$20,Инвестиции!$B$13:$B$20,Расчёт.ПрибылиВсё!$D50)</f>
        <v>-84761.516666666677</v>
      </c>
      <c r="L50" s="67">
        <f t="shared" si="4"/>
        <v>439188.48333333287</v>
      </c>
      <c r="M50" s="67">
        <f>-IF($C$4="Все",SUMIFS('Заёмные средства'!$P:$P,'Заёмные средства'!$F:$F,Расчёт.ПрибылиВсё!$B50),0)</f>
        <v>0</v>
      </c>
      <c r="N50" s="67">
        <f>IF(IF(Персонал!Y47&gt;(-L50*0.15),(-L50*0.15)+Персонал!Y47*0.5,(-L50*0.15)+Персонал!Y47)&gt;0,-F50*0.01,IF(Персонал!Y47&gt;(-L50*0.15),(-L50*0.15)+Персонал!Y47*0.5,(-L50*0.15)+Персонал!Y47))</f>
        <v>-28050</v>
      </c>
      <c r="P50" s="67">
        <f t="shared" si="8"/>
        <v>74436.666666666701</v>
      </c>
      <c r="Q50" s="67">
        <f t="shared" si="9"/>
        <v>1116550.0000000005</v>
      </c>
      <c r="R50" s="67">
        <f t="shared" si="5"/>
        <v>1116550.0000000005</v>
      </c>
      <c r="S50" s="67">
        <f t="shared" si="10"/>
        <v>74436.666666666701</v>
      </c>
      <c r="T50" s="67">
        <f t="shared" si="6"/>
        <v>0</v>
      </c>
      <c r="U50" s="223"/>
      <c r="V50" s="67">
        <f t="shared" si="11"/>
        <v>744366.66666666698</v>
      </c>
      <c r="W50" s="67">
        <f t="shared" si="12"/>
        <v>1116550.0000000005</v>
      </c>
      <c r="X50" s="67">
        <f t="shared" si="23"/>
        <v>1116550.0000000005</v>
      </c>
      <c r="Y50" s="67">
        <f t="shared" si="24"/>
        <v>744366.66666666698</v>
      </c>
      <c r="Z50" s="58">
        <f t="shared" si="7"/>
        <v>0</v>
      </c>
    </row>
    <row r="51" spans="2:26" x14ac:dyDescent="0.25">
      <c r="B51" s="67">
        <f t="shared" si="18"/>
        <v>44</v>
      </c>
      <c r="C51" s="67">
        <f t="shared" si="15"/>
        <v>10</v>
      </c>
      <c r="D51" s="67">
        <f t="shared" si="0"/>
        <v>2021</v>
      </c>
      <c r="E51" s="122">
        <f t="shared" si="1"/>
        <v>44500</v>
      </c>
      <c r="F51" s="67">
        <f>IFERROR(HLOOKUP(IF($C$4="Все","Итого:",$C$4),'План продаж'!$L$5:$P$66,MATCH(Расчёт.ПрибылиВсё!$B51,'План продаж'!$B$5:$B$66,0),0),0)</f>
        <v>3740000</v>
      </c>
      <c r="G51" s="67">
        <f t="shared" si="3"/>
        <v>-1488733.333333334</v>
      </c>
      <c r="H51" s="67">
        <f>IFERROR(HLOOKUP(IF($C$4="Все","Итого:",$C$4),'План продаж'!$Q$5:$U$66,MATCH(Расчёт.ПрибылиВсё!$B51,'План продаж'!$B$5:$B$66,0),0),0)</f>
        <v>2251266.666666666</v>
      </c>
      <c r="I51" s="67">
        <f>-(HLOOKUP(IF($C$4="Все","Итого:",$C$4),'Расчёт.Постоянные расходы'!$B$5:$I$129,MATCH(Расчёт.ПрибылиВсё!$B51,'Расчёт.Постоянные расходы'!$B$5:$B$130,0),0))</f>
        <v>-560000</v>
      </c>
      <c r="J51" s="67">
        <f>-(HLOOKUP(IF($C$4="Все","Итого:",$C$4),Персонал!$Q$4:$V$129,MATCH(Расчёт.ПрибылиВсё!$B51,Персонал!$O$4:$O$129,0),0))</f>
        <v>-604500</v>
      </c>
      <c r="K51" s="67">
        <f>-SUMIFS(Инвестиции!$M$13:$M$20,Инвестиции!$B$13:$B$20,Расчёт.ПрибылиВсё!$D51)</f>
        <v>-84761.516666666677</v>
      </c>
      <c r="L51" s="67">
        <f t="shared" si="4"/>
        <v>1002005.1499999993</v>
      </c>
      <c r="M51" s="67">
        <f>-IF($C$4="Все",SUMIFS('Заёмные средства'!$P:$P,'Заёмные средства'!$F:$F,Расчёт.ПрибылиВсё!$B51),0)</f>
        <v>0</v>
      </c>
      <c r="N51" s="67">
        <f>IF(IF(Персонал!Y48&gt;(-L51*0.15),(-L51*0.15)+Персонал!Y48*0.5,(-L51*0.15)+Персонал!Y48)&gt;0,-F51*0.01,IF(Персонал!Y48&gt;(-L51*0.15),(-L51*0.15)+Персонал!Y48*0.5,(-L51*0.15)+Персонал!Y48))</f>
        <v>-80550.772499999905</v>
      </c>
      <c r="P51" s="67">
        <f t="shared" si="8"/>
        <v>74436.666666666701</v>
      </c>
      <c r="Q51" s="67">
        <f t="shared" si="9"/>
        <v>1513545.5555555562</v>
      </c>
      <c r="R51" s="67">
        <f t="shared" si="5"/>
        <v>1488733.333333334</v>
      </c>
      <c r="S51" s="67">
        <f t="shared" si="10"/>
        <v>99248.888888888934</v>
      </c>
      <c r="T51" s="67">
        <f t="shared" si="6"/>
        <v>24812.222222222234</v>
      </c>
      <c r="U51" s="223"/>
      <c r="V51" s="67">
        <f t="shared" si="11"/>
        <v>744366.66666666698</v>
      </c>
      <c r="W51" s="67">
        <f t="shared" si="12"/>
        <v>1513545.5555555562</v>
      </c>
      <c r="X51" s="67">
        <f t="shared" si="23"/>
        <v>1248881.8518518521</v>
      </c>
      <c r="Y51" s="67">
        <f t="shared" si="24"/>
        <v>1009030.3703703708</v>
      </c>
      <c r="Z51" s="58">
        <f t="shared" si="7"/>
        <v>264663.70370370382</v>
      </c>
    </row>
    <row r="52" spans="2:26" x14ac:dyDescent="0.25">
      <c r="B52" s="67">
        <f t="shared" si="18"/>
        <v>45</v>
      </c>
      <c r="C52" s="67">
        <f t="shared" si="15"/>
        <v>11</v>
      </c>
      <c r="D52" s="67">
        <f t="shared" si="0"/>
        <v>2021</v>
      </c>
      <c r="E52" s="122">
        <f t="shared" si="1"/>
        <v>44530</v>
      </c>
      <c r="F52" s="67">
        <f>IFERROR(HLOOKUP(IF($C$4="Все","Итого:",$C$4),'План продаж'!$L$5:$P$66,MATCH(Расчёт.ПрибылиВсё!$B52,'План продаж'!$B$5:$B$66,0),0),0)</f>
        <v>3740000</v>
      </c>
      <c r="G52" s="67">
        <f t="shared" si="3"/>
        <v>-1488733.333333334</v>
      </c>
      <c r="H52" s="67">
        <f>IFERROR(HLOOKUP(IF($C$4="Все","Итого:",$C$4),'План продаж'!$Q$5:$U$66,MATCH(Расчёт.ПрибылиВсё!$B52,'План продаж'!$B$5:$B$66,0),0),0)</f>
        <v>2251266.666666666</v>
      </c>
      <c r="I52" s="67">
        <f>-(HLOOKUP(IF($C$4="Все","Итого:",$C$4),'Расчёт.Постоянные расходы'!$B$5:$I$129,MATCH(Расчёт.ПрибылиВсё!$B52,'Расчёт.Постоянные расходы'!$B$5:$B$130,0),0))</f>
        <v>-560000</v>
      </c>
      <c r="J52" s="67">
        <f>-(HLOOKUP(IF($C$4="Все","Итого:",$C$4),Персонал!$Q$4:$V$129,MATCH(Расчёт.ПрибылиВсё!$B52,Персонал!$O$4:$O$129,0),0))</f>
        <v>-604500</v>
      </c>
      <c r="K52" s="67">
        <f>-SUMIFS(Инвестиции!$M$13:$M$20,Инвестиции!$B$13:$B$20,Расчёт.ПрибылиВсё!$D52)</f>
        <v>-84761.516666666677</v>
      </c>
      <c r="L52" s="67">
        <f t="shared" si="4"/>
        <v>1002005.1499999993</v>
      </c>
      <c r="M52" s="67">
        <f>-IF($C$4="Все",SUMIFS('Заёмные средства'!$P:$P,'Заёмные средства'!$F:$F,Расчёт.ПрибылиВсё!$B52),0)</f>
        <v>0</v>
      </c>
      <c r="N52" s="67">
        <f>IF(IF(Персонал!Y49&gt;(-L52*0.15),(-L52*0.15)+Персонал!Y49*0.5,(-L52*0.15)+Персонал!Y49)&gt;0,-F52*0.01,IF(Персонал!Y49&gt;(-L52*0.15),(-L52*0.15)+Персонал!Y49*0.5,(-L52*0.15)+Персонал!Y49))</f>
        <v>-80550.772499999905</v>
      </c>
      <c r="P52" s="67">
        <f t="shared" si="8"/>
        <v>99248.888888888934</v>
      </c>
      <c r="Q52" s="67">
        <f t="shared" si="9"/>
        <v>1488733.333333334</v>
      </c>
      <c r="R52" s="67">
        <f t="shared" si="5"/>
        <v>1488733.333333334</v>
      </c>
      <c r="S52" s="67">
        <f t="shared" si="10"/>
        <v>99248.888888888934</v>
      </c>
      <c r="T52" s="67">
        <f t="shared" si="6"/>
        <v>0</v>
      </c>
      <c r="U52" s="223"/>
      <c r="V52" s="67">
        <f t="shared" si="11"/>
        <v>1009030.3703703708</v>
      </c>
      <c r="W52" s="67">
        <f t="shared" si="12"/>
        <v>1488733.333333334</v>
      </c>
      <c r="X52" s="67">
        <f t="shared" si="23"/>
        <v>1505274.8148148153</v>
      </c>
      <c r="Y52" s="67">
        <f t="shared" si="24"/>
        <v>992488.88888888934</v>
      </c>
      <c r="Z52" s="58">
        <f t="shared" si="7"/>
        <v>-16541.48148148146</v>
      </c>
    </row>
    <row r="53" spans="2:26" x14ac:dyDescent="0.25">
      <c r="B53" s="67">
        <f t="shared" si="18"/>
        <v>46</v>
      </c>
      <c r="C53" s="67">
        <f t="shared" si="15"/>
        <v>12</v>
      </c>
      <c r="D53" s="67">
        <f t="shared" si="0"/>
        <v>2021</v>
      </c>
      <c r="E53" s="122">
        <f t="shared" si="1"/>
        <v>44561</v>
      </c>
      <c r="F53" s="67">
        <f>IFERROR(HLOOKUP(IF($C$4="Все","Итого:",$C$4),'План продаж'!$L$5:$P$66,MATCH(Расчёт.ПрибылиВсё!$B53,'План продаж'!$B$5:$B$66,0),0),0)</f>
        <v>3740000</v>
      </c>
      <c r="G53" s="67">
        <f t="shared" si="3"/>
        <v>-1488733.333333334</v>
      </c>
      <c r="H53" s="67">
        <f>IFERROR(HLOOKUP(IF($C$4="Все","Итого:",$C$4),'План продаж'!$Q$5:$U$66,MATCH(Расчёт.ПрибылиВсё!$B53,'План продаж'!$B$5:$B$66,0),0),0)</f>
        <v>2251266.666666666</v>
      </c>
      <c r="I53" s="67">
        <f>-(HLOOKUP(IF($C$4="Все","Итого:",$C$4),'Расчёт.Постоянные расходы'!$B$5:$I$129,MATCH(Расчёт.ПрибылиВсё!$B53,'Расчёт.Постоянные расходы'!$B$5:$B$130,0),0))</f>
        <v>-560000</v>
      </c>
      <c r="J53" s="67">
        <f>-(HLOOKUP(IF($C$4="Все","Итого:",$C$4),Персонал!$Q$4:$V$129,MATCH(Расчёт.ПрибылиВсё!$B53,Персонал!$O$4:$O$129,0),0))</f>
        <v>-604500</v>
      </c>
      <c r="K53" s="67">
        <f>-SUMIFS(Инвестиции!$M$13:$M$20,Инвестиции!$B$13:$B$20,Расчёт.ПрибылиВсё!$D53)</f>
        <v>-84761.516666666677</v>
      </c>
      <c r="L53" s="67">
        <f t="shared" si="4"/>
        <v>1002005.1499999993</v>
      </c>
      <c r="M53" s="67">
        <f>-IF($C$4="Все",SUMIFS('Заёмные средства'!$P:$P,'Заёмные средства'!$F:$F,Расчёт.ПрибылиВсё!$B53),0)</f>
        <v>0</v>
      </c>
      <c r="N53" s="67">
        <f>IF(IF(Персонал!Y50&gt;(-L53*0.15),(-L53*0.15)+Персонал!Y50*0.5,(-L53*0.15)+Персонал!Y50)&gt;0,-F53*0.01,IF(Персонал!Y50&gt;(-L53*0.15),(-L53*0.15)+Персонал!Y50*0.5,(-L53*0.15)+Персонал!Y50))</f>
        <v>-80550.772499999905</v>
      </c>
      <c r="P53" s="67">
        <f t="shared" si="8"/>
        <v>99248.888888888934</v>
      </c>
      <c r="Q53" s="67">
        <f t="shared" si="9"/>
        <v>1488733.333333334</v>
      </c>
      <c r="R53" s="67">
        <f t="shared" si="5"/>
        <v>1488733.333333334</v>
      </c>
      <c r="S53" s="67">
        <f t="shared" si="10"/>
        <v>99248.888888888934</v>
      </c>
      <c r="T53" s="67">
        <f t="shared" si="6"/>
        <v>0</v>
      </c>
      <c r="U53" s="223"/>
      <c r="V53" s="67">
        <f t="shared" si="11"/>
        <v>992488.88888888934</v>
      </c>
      <c r="W53" s="67">
        <f t="shared" si="12"/>
        <v>1488733.333333334</v>
      </c>
      <c r="X53" s="67">
        <f t="shared" si="23"/>
        <v>1488733.333333334</v>
      </c>
      <c r="Y53" s="67">
        <f t="shared" si="24"/>
        <v>992488.88888888934</v>
      </c>
      <c r="Z53" s="58">
        <f t="shared" si="7"/>
        <v>0</v>
      </c>
    </row>
    <row r="54" spans="2:26" x14ac:dyDescent="0.25">
      <c r="B54" s="67">
        <f t="shared" si="18"/>
        <v>47</v>
      </c>
      <c r="C54" s="67">
        <f t="shared" si="15"/>
        <v>1</v>
      </c>
      <c r="D54" s="67">
        <f t="shared" si="0"/>
        <v>2022</v>
      </c>
      <c r="E54" s="122">
        <f t="shared" si="1"/>
        <v>44592</v>
      </c>
      <c r="F54" s="67">
        <f>IFERROR(HLOOKUP(IF($C$4="Все","Итого:",$C$4),'План продаж'!$L$5:$P$66,MATCH(Расчёт.ПрибылиВсё!$B54,'План продаж'!$B$5:$B$66,0),0),0)</f>
        <v>3740000</v>
      </c>
      <c r="G54" s="67">
        <f t="shared" si="3"/>
        <v>-1488733.333333334</v>
      </c>
      <c r="H54" s="67">
        <f>IFERROR(HLOOKUP(IF($C$4="Все","Итого:",$C$4),'План продаж'!$Q$5:$U$66,MATCH(Расчёт.ПрибылиВсё!$B54,'План продаж'!$B$5:$B$66,0),0),0)</f>
        <v>2251266.666666666</v>
      </c>
      <c r="I54" s="67">
        <f>-(HLOOKUP(IF($C$4="Все","Итого:",$C$4),'Расчёт.Постоянные расходы'!$B$5:$I$129,MATCH(Расчёт.ПрибылиВсё!$B54,'Расчёт.Постоянные расходы'!$B$5:$B$130,0),0))</f>
        <v>-560000</v>
      </c>
      <c r="J54" s="67">
        <f>-(HLOOKUP(IF($C$4="Все","Итого:",$C$4),Персонал!$Q$4:$V$129,MATCH(Расчёт.ПрибылиВсё!$B54,Персонал!$O$4:$O$129,0),0))</f>
        <v>-604500</v>
      </c>
      <c r="K54" s="67">
        <f>-SUMIFS(Инвестиции!$M$13:$M$20,Инвестиции!$B$13:$B$20,Расчёт.ПрибылиВсё!$D54)</f>
        <v>-84761.516666666663</v>
      </c>
      <c r="L54" s="67">
        <f t="shared" si="4"/>
        <v>1002005.1499999994</v>
      </c>
      <c r="M54" s="67">
        <f>-IF($C$4="Все",SUMIFS('Заёмные средства'!$P:$P,'Заёмные средства'!$F:$F,Расчёт.ПрибылиВсё!$B54),0)</f>
        <v>0</v>
      </c>
      <c r="N54" s="67">
        <f>IF(IF(Персонал!Y51&gt;(-L54*0.15),(-L54*0.15)+Персонал!Y51*0.5,(-L54*0.15)+Персонал!Y51)&gt;0,-F54*0.01,IF(Персонал!Y51&gt;(-L54*0.15),(-L54*0.15)+Персонал!Y51*0.5,(-L54*0.15)+Персонал!Y51))</f>
        <v>-80550.772499999905</v>
      </c>
      <c r="P54" s="67">
        <f t="shared" si="8"/>
        <v>99248.888888888934</v>
      </c>
      <c r="Q54" s="67">
        <f t="shared" si="9"/>
        <v>1488733.333333334</v>
      </c>
      <c r="R54" s="67">
        <f t="shared" si="5"/>
        <v>1488733.333333334</v>
      </c>
      <c r="S54" s="67">
        <f t="shared" si="10"/>
        <v>99248.888888888934</v>
      </c>
      <c r="T54" s="67">
        <f t="shared" si="6"/>
        <v>0</v>
      </c>
      <c r="U54" s="223"/>
      <c r="V54" s="67">
        <f t="shared" si="11"/>
        <v>992488.88888888934</v>
      </c>
      <c r="W54" s="67">
        <f t="shared" si="12"/>
        <v>1488733.333333334</v>
      </c>
      <c r="X54" s="67">
        <f t="shared" si="23"/>
        <v>1488733.333333334</v>
      </c>
      <c r="Y54" s="67">
        <f t="shared" si="24"/>
        <v>992488.88888888934</v>
      </c>
      <c r="Z54" s="58">
        <f t="shared" si="7"/>
        <v>0</v>
      </c>
    </row>
    <row r="55" spans="2:26" x14ac:dyDescent="0.25">
      <c r="B55" s="67">
        <f t="shared" si="18"/>
        <v>48</v>
      </c>
      <c r="C55" s="67">
        <f t="shared" si="15"/>
        <v>2</v>
      </c>
      <c r="D55" s="67">
        <f t="shared" si="0"/>
        <v>2022</v>
      </c>
      <c r="E55" s="122">
        <f t="shared" si="1"/>
        <v>44620</v>
      </c>
      <c r="F55" s="67">
        <f>IFERROR(HLOOKUP(IF($C$4="Все","Итого:",$C$4),'План продаж'!$L$5:$P$66,MATCH(Расчёт.ПрибылиВсё!$B55,'План продаж'!$B$5:$B$66,0),0),0)</f>
        <v>3740000</v>
      </c>
      <c r="G55" s="67">
        <f t="shared" si="3"/>
        <v>-1488733.333333334</v>
      </c>
      <c r="H55" s="67">
        <f>IFERROR(HLOOKUP(IF($C$4="Все","Итого:",$C$4),'План продаж'!$Q$5:$U$66,MATCH(Расчёт.ПрибылиВсё!$B55,'План продаж'!$B$5:$B$66,0),0),0)</f>
        <v>2251266.666666666</v>
      </c>
      <c r="I55" s="67">
        <f>-(HLOOKUP(IF($C$4="Все","Итого:",$C$4),'Расчёт.Постоянные расходы'!$B$5:$I$129,MATCH(Расчёт.ПрибылиВсё!$B55,'Расчёт.Постоянные расходы'!$B$5:$B$130,0),0))</f>
        <v>-560000</v>
      </c>
      <c r="J55" s="67">
        <f>-(HLOOKUP(IF($C$4="Все","Итого:",$C$4),Персонал!$Q$4:$V$129,MATCH(Расчёт.ПрибылиВсё!$B55,Персонал!$O$4:$O$129,0),0))</f>
        <v>-604500</v>
      </c>
      <c r="K55" s="67">
        <f>-SUMIFS(Инвестиции!$M$13:$M$20,Инвестиции!$B$13:$B$20,Расчёт.ПрибылиВсё!$D55)</f>
        <v>-84761.516666666663</v>
      </c>
      <c r="L55" s="67">
        <f t="shared" si="4"/>
        <v>1002005.1499999994</v>
      </c>
      <c r="M55" s="67">
        <f>-IF($C$4="Все",SUMIFS('Заёмные средства'!$P:$P,'Заёмные средства'!$F:$F,Расчёт.ПрибылиВсё!$B55),0)</f>
        <v>0</v>
      </c>
      <c r="N55" s="67">
        <f>IF(IF(Персонал!Y52&gt;(-L55*0.15),(-L55*0.15)+Персонал!Y52*0.5,(-L55*0.15)+Персонал!Y52)&gt;0,-F55*0.01,IF(Персонал!Y52&gt;(-L55*0.15),(-L55*0.15)+Персонал!Y52*0.5,(-L55*0.15)+Персонал!Y52))</f>
        <v>-80550.772499999905</v>
      </c>
      <c r="P55" s="67">
        <f t="shared" si="8"/>
        <v>99248.888888888934</v>
      </c>
      <c r="Q55" s="67">
        <f t="shared" si="9"/>
        <v>1488733.333333334</v>
      </c>
      <c r="R55" s="67">
        <f t="shared" si="5"/>
        <v>1488733.333333334</v>
      </c>
      <c r="S55" s="67">
        <f t="shared" si="10"/>
        <v>99248.888888888934</v>
      </c>
      <c r="T55" s="67">
        <f t="shared" si="6"/>
        <v>0</v>
      </c>
      <c r="U55" s="223"/>
      <c r="V55" s="67">
        <f t="shared" si="11"/>
        <v>992488.88888888934</v>
      </c>
      <c r="W55" s="67">
        <f t="shared" si="12"/>
        <v>1488733.333333334</v>
      </c>
      <c r="X55" s="67">
        <f t="shared" si="23"/>
        <v>1488733.333333334</v>
      </c>
      <c r="Y55" s="67">
        <f t="shared" si="24"/>
        <v>992488.88888888934</v>
      </c>
      <c r="Z55" s="58">
        <f t="shared" si="7"/>
        <v>0</v>
      </c>
    </row>
    <row r="56" spans="2:26" x14ac:dyDescent="0.25">
      <c r="B56" s="67">
        <f t="shared" si="18"/>
        <v>49</v>
      </c>
      <c r="C56" s="67">
        <f t="shared" si="15"/>
        <v>3</v>
      </c>
      <c r="D56" s="67">
        <f t="shared" si="0"/>
        <v>2022</v>
      </c>
      <c r="E56" s="122">
        <f t="shared" si="1"/>
        <v>44651</v>
      </c>
      <c r="F56" s="67">
        <f>IFERROR(HLOOKUP(IF($C$4="Все","Итого:",$C$4),'План продаж'!$L$5:$P$66,MATCH(Расчёт.ПрибылиВсё!$B56,'План продаж'!$B$5:$B$66,0),0),0)</f>
        <v>3740000</v>
      </c>
      <c r="G56" s="67">
        <f t="shared" si="3"/>
        <v>-1488733.333333334</v>
      </c>
      <c r="H56" s="67">
        <f>IFERROR(HLOOKUP(IF($C$4="Все","Итого:",$C$4),'План продаж'!$Q$5:$U$66,MATCH(Расчёт.ПрибылиВсё!$B56,'План продаж'!$B$5:$B$66,0),0),0)</f>
        <v>2251266.666666666</v>
      </c>
      <c r="I56" s="67">
        <f>-(HLOOKUP(IF($C$4="Все","Итого:",$C$4),'Расчёт.Постоянные расходы'!$B$5:$I$129,MATCH(Расчёт.ПрибылиВсё!$B56,'Расчёт.Постоянные расходы'!$B$5:$B$130,0),0))</f>
        <v>-560000</v>
      </c>
      <c r="J56" s="67">
        <f>-(HLOOKUP(IF($C$4="Все","Итого:",$C$4),Персонал!$Q$4:$V$129,MATCH(Расчёт.ПрибылиВсё!$B56,Персонал!$O$4:$O$129,0),0))</f>
        <v>-604500</v>
      </c>
      <c r="K56" s="67">
        <f>-SUMIFS(Инвестиции!$M$13:$M$20,Инвестиции!$B$13:$B$20,Расчёт.ПрибылиВсё!$D56)</f>
        <v>-84761.516666666663</v>
      </c>
      <c r="L56" s="67">
        <f t="shared" si="4"/>
        <v>1002005.1499999994</v>
      </c>
      <c r="M56" s="67">
        <f>-IF($C$4="Все",SUMIFS('Заёмные средства'!$P:$P,'Заёмные средства'!$F:$F,Расчёт.ПрибылиВсё!$B56),0)</f>
        <v>0</v>
      </c>
      <c r="N56" s="67">
        <f>IF(IF(Персонал!Y53&gt;(-L56*0.15),(-L56*0.15)+Персонал!Y53*0.5,(-L56*0.15)+Персонал!Y53)&gt;0,-F56*0.01,IF(Персонал!Y53&gt;(-L56*0.15),(-L56*0.15)+Персонал!Y53*0.5,(-L56*0.15)+Персонал!Y53))</f>
        <v>-80550.772499999905</v>
      </c>
      <c r="P56" s="67">
        <f t="shared" si="8"/>
        <v>99248.888888888934</v>
      </c>
      <c r="Q56" s="67">
        <f t="shared" si="9"/>
        <v>1488733.333333334</v>
      </c>
      <c r="R56" s="67">
        <f t="shared" si="5"/>
        <v>1488733.333333334</v>
      </c>
      <c r="S56" s="67">
        <f t="shared" si="10"/>
        <v>99248.888888888934</v>
      </c>
      <c r="T56" s="67">
        <f t="shared" si="6"/>
        <v>0</v>
      </c>
      <c r="U56" s="223"/>
      <c r="V56" s="67">
        <f t="shared" si="11"/>
        <v>992488.88888888934</v>
      </c>
      <c r="W56" s="67">
        <f t="shared" si="12"/>
        <v>1488733.333333334</v>
      </c>
      <c r="X56" s="67">
        <f t="shared" si="23"/>
        <v>1488733.333333334</v>
      </c>
      <c r="Y56" s="67">
        <f t="shared" si="24"/>
        <v>992488.88888888934</v>
      </c>
      <c r="Z56" s="58">
        <f t="shared" si="7"/>
        <v>0</v>
      </c>
    </row>
    <row r="57" spans="2:26" x14ac:dyDescent="0.25">
      <c r="B57" s="67">
        <f t="shared" si="18"/>
        <v>50</v>
      </c>
      <c r="C57" s="67">
        <f t="shared" si="15"/>
        <v>4</v>
      </c>
      <c r="D57" s="67">
        <f t="shared" si="0"/>
        <v>2022</v>
      </c>
      <c r="E57" s="122">
        <f t="shared" si="1"/>
        <v>44681</v>
      </c>
      <c r="F57" s="67">
        <f>IFERROR(HLOOKUP(IF($C$4="Все","Итого:",$C$4),'План продаж'!$L$5:$P$66,MATCH(Расчёт.ПрибылиВсё!$B57,'План продаж'!$B$5:$B$66,0),0),0)</f>
        <v>3740000</v>
      </c>
      <c r="G57" s="67">
        <f t="shared" si="3"/>
        <v>-1488733.333333334</v>
      </c>
      <c r="H57" s="67">
        <f>IFERROR(HLOOKUP(IF($C$4="Все","Итого:",$C$4),'План продаж'!$Q$5:$U$66,MATCH(Расчёт.ПрибылиВсё!$B57,'План продаж'!$B$5:$B$66,0),0),0)</f>
        <v>2251266.666666666</v>
      </c>
      <c r="I57" s="67">
        <f>-(HLOOKUP(IF($C$4="Все","Итого:",$C$4),'Расчёт.Постоянные расходы'!$B$5:$I$129,MATCH(Расчёт.ПрибылиВсё!$B57,'Расчёт.Постоянные расходы'!$B$5:$B$130,0),0))</f>
        <v>-560000</v>
      </c>
      <c r="J57" s="67">
        <f>-(HLOOKUP(IF($C$4="Все","Итого:",$C$4),Персонал!$Q$4:$V$129,MATCH(Расчёт.ПрибылиВсё!$B57,Персонал!$O$4:$O$129,0),0))</f>
        <v>-604500</v>
      </c>
      <c r="K57" s="67">
        <f>-SUMIFS(Инвестиции!$M$13:$M$20,Инвестиции!$B$13:$B$20,Расчёт.ПрибылиВсё!$D57)</f>
        <v>-84761.516666666663</v>
      </c>
      <c r="L57" s="67">
        <f t="shared" si="4"/>
        <v>1002005.1499999994</v>
      </c>
      <c r="M57" s="67">
        <f>-IF($C$4="Все",SUMIFS('Заёмные средства'!$P:$P,'Заёмные средства'!$F:$F,Расчёт.ПрибылиВсё!$B57),0)</f>
        <v>0</v>
      </c>
      <c r="N57" s="67">
        <f>IF(IF(Персонал!Y54&gt;(-L57*0.15),(-L57*0.15)+Персонал!Y54*0.5,(-L57*0.15)+Персонал!Y54)&gt;0,-F57*0.01,IF(Персонал!Y54&gt;(-L57*0.15),(-L57*0.15)+Персонал!Y54*0.5,(-L57*0.15)+Персонал!Y54))</f>
        <v>-80550.772499999905</v>
      </c>
      <c r="P57" s="67">
        <f t="shared" si="8"/>
        <v>99248.888888888934</v>
      </c>
      <c r="Q57" s="67">
        <f t="shared" si="9"/>
        <v>1488733.333333334</v>
      </c>
      <c r="R57" s="67">
        <f t="shared" si="5"/>
        <v>1488733.333333334</v>
      </c>
      <c r="S57" s="67">
        <f t="shared" si="10"/>
        <v>99248.888888888934</v>
      </c>
      <c r="T57" s="67">
        <f t="shared" si="6"/>
        <v>0</v>
      </c>
      <c r="U57" s="223"/>
      <c r="V57" s="67">
        <f t="shared" si="11"/>
        <v>992488.88888888934</v>
      </c>
      <c r="W57" s="67">
        <f t="shared" si="12"/>
        <v>1488733.333333334</v>
      </c>
      <c r="X57" s="67">
        <f t="shared" si="23"/>
        <v>1488733.333333334</v>
      </c>
      <c r="Y57" s="67">
        <f t="shared" si="24"/>
        <v>992488.88888888934</v>
      </c>
      <c r="Z57" s="58">
        <f t="shared" si="7"/>
        <v>0</v>
      </c>
    </row>
    <row r="58" spans="2:26" x14ac:dyDescent="0.25">
      <c r="B58" s="67">
        <f t="shared" si="18"/>
        <v>51</v>
      </c>
      <c r="C58" s="67">
        <f t="shared" si="15"/>
        <v>5</v>
      </c>
      <c r="D58" s="67">
        <f t="shared" si="0"/>
        <v>2022</v>
      </c>
      <c r="E58" s="122">
        <f t="shared" si="1"/>
        <v>44712</v>
      </c>
      <c r="F58" s="67">
        <f>IFERROR(HLOOKUP(IF($C$4="Все","Итого:",$C$4),'План продаж'!$L$5:$P$66,MATCH(Расчёт.ПрибылиВсё!$B58,'План продаж'!$B$5:$B$66,0),0),0)</f>
        <v>2805000</v>
      </c>
      <c r="G58" s="67">
        <f t="shared" si="3"/>
        <v>-1116550.0000000005</v>
      </c>
      <c r="H58" s="67">
        <f>IFERROR(HLOOKUP(IF($C$4="Все","Итого:",$C$4),'План продаж'!$Q$5:$U$66,MATCH(Расчёт.ПрибылиВсё!$B58,'План продаж'!$B$5:$B$66,0),0),0)</f>
        <v>1688449.9999999995</v>
      </c>
      <c r="I58" s="67">
        <f>-(HLOOKUP(IF($C$4="Все","Итого:",$C$4),'Расчёт.Постоянные расходы'!$B$5:$I$129,MATCH(Расчёт.ПрибылиВсё!$B58,'Расчёт.Постоянные расходы'!$B$5:$B$130,0),0))</f>
        <v>-560000</v>
      </c>
      <c r="J58" s="67">
        <f>-(HLOOKUP(IF($C$4="Все","Итого:",$C$4),Персонал!$Q$4:$V$129,MATCH(Расчёт.ПрибылиВсё!$B58,Персонал!$O$4:$O$129,0),0))</f>
        <v>-604500</v>
      </c>
      <c r="K58" s="67">
        <f>-SUMIFS(Инвестиции!$M$13:$M$20,Инвестиции!$B$13:$B$20,Расчёт.ПрибылиВсё!$D58)</f>
        <v>-84761.516666666663</v>
      </c>
      <c r="L58" s="67">
        <f t="shared" si="4"/>
        <v>439188.48333333287</v>
      </c>
      <c r="M58" s="67">
        <f>-IF($C$4="Все",SUMIFS('Заёмные средства'!$P:$P,'Заёмные средства'!$F:$F,Расчёт.ПрибылиВсё!$B58),0)</f>
        <v>0</v>
      </c>
      <c r="N58" s="67">
        <f>IF(IF(Персонал!Y55&gt;(-L58*0.15),(-L58*0.15)+Персонал!Y55*0.5,(-L58*0.15)+Персонал!Y55)&gt;0,-F58*0.01,IF(Персонал!Y55&gt;(-L58*0.15),(-L58*0.15)+Персонал!Y55*0.5,(-L58*0.15)+Персонал!Y55))</f>
        <v>-28050</v>
      </c>
      <c r="P58" s="67">
        <f t="shared" si="8"/>
        <v>99248.888888888934</v>
      </c>
      <c r="Q58" s="67">
        <f t="shared" si="9"/>
        <v>1091737.7777777782</v>
      </c>
      <c r="R58" s="67">
        <f t="shared" si="5"/>
        <v>1116550.0000000005</v>
      </c>
      <c r="S58" s="67">
        <f t="shared" si="10"/>
        <v>74436.666666666701</v>
      </c>
      <c r="T58" s="67">
        <f t="shared" si="6"/>
        <v>-24812.222222222234</v>
      </c>
      <c r="U58" s="223"/>
      <c r="V58" s="67">
        <f t="shared" si="11"/>
        <v>992488.88888888934</v>
      </c>
      <c r="W58" s="67">
        <f t="shared" si="12"/>
        <v>1091737.7777777782</v>
      </c>
      <c r="X58" s="67">
        <f t="shared" si="23"/>
        <v>1356401.4814814818</v>
      </c>
      <c r="Y58" s="67">
        <f t="shared" si="24"/>
        <v>727825.18518518552</v>
      </c>
      <c r="Z58" s="58">
        <f t="shared" si="7"/>
        <v>-264663.70370370382</v>
      </c>
    </row>
    <row r="59" spans="2:26" x14ac:dyDescent="0.25">
      <c r="B59" s="67">
        <f t="shared" si="18"/>
        <v>52</v>
      </c>
      <c r="C59" s="67">
        <f t="shared" si="15"/>
        <v>6</v>
      </c>
      <c r="D59" s="67">
        <f t="shared" si="0"/>
        <v>2022</v>
      </c>
      <c r="E59" s="122">
        <f t="shared" si="1"/>
        <v>44742</v>
      </c>
      <c r="F59" s="67">
        <f>IFERROR(HLOOKUP(IF($C$4="Все","Итого:",$C$4),'План продаж'!$L$5:$P$66,MATCH(Расчёт.ПрибылиВсё!$B59,'План продаж'!$B$5:$B$66,0),0),0)</f>
        <v>2805000</v>
      </c>
      <c r="G59" s="67">
        <f t="shared" si="3"/>
        <v>-1116550.0000000005</v>
      </c>
      <c r="H59" s="67">
        <f>IFERROR(HLOOKUP(IF($C$4="Все","Итого:",$C$4),'План продаж'!$Q$5:$U$66,MATCH(Расчёт.ПрибылиВсё!$B59,'План продаж'!$B$5:$B$66,0),0),0)</f>
        <v>1688449.9999999995</v>
      </c>
      <c r="I59" s="67">
        <f>-(HLOOKUP(IF($C$4="Все","Итого:",$C$4),'Расчёт.Постоянные расходы'!$B$5:$I$129,MATCH(Расчёт.ПрибылиВсё!$B59,'Расчёт.Постоянные расходы'!$B$5:$B$130,0),0))</f>
        <v>-560000</v>
      </c>
      <c r="J59" s="67">
        <f>-(HLOOKUP(IF($C$4="Все","Итого:",$C$4),Персонал!$Q$4:$V$129,MATCH(Расчёт.ПрибылиВсё!$B59,Персонал!$O$4:$O$129,0),0))</f>
        <v>-604500</v>
      </c>
      <c r="K59" s="67">
        <f>-SUMIFS(Инвестиции!$M$13:$M$20,Инвестиции!$B$13:$B$20,Расчёт.ПрибылиВсё!$D59)</f>
        <v>-84761.516666666663</v>
      </c>
      <c r="L59" s="67">
        <f t="shared" si="4"/>
        <v>439188.48333333287</v>
      </c>
      <c r="M59" s="67">
        <f>-IF($C$4="Все",SUMIFS('Заёмные средства'!$P:$P,'Заёмные средства'!$F:$F,Расчёт.ПрибылиВсё!$B59),0)</f>
        <v>0</v>
      </c>
      <c r="N59" s="67">
        <f>IF(IF(Персонал!Y56&gt;(-L59*0.15),(-L59*0.15)+Персонал!Y56*0.5,(-L59*0.15)+Персонал!Y56)&gt;0,-F59*0.01,IF(Персонал!Y56&gt;(-L59*0.15),(-L59*0.15)+Персонал!Y56*0.5,(-L59*0.15)+Персонал!Y56))</f>
        <v>-28050</v>
      </c>
      <c r="P59" s="67">
        <f t="shared" si="8"/>
        <v>74436.666666666701</v>
      </c>
      <c r="Q59" s="67">
        <f t="shared" si="9"/>
        <v>1116550.0000000005</v>
      </c>
      <c r="R59" s="67">
        <f t="shared" si="5"/>
        <v>1116550.0000000005</v>
      </c>
      <c r="S59" s="67">
        <f t="shared" si="10"/>
        <v>74436.666666666701</v>
      </c>
      <c r="T59" s="67">
        <f t="shared" si="6"/>
        <v>0</v>
      </c>
      <c r="U59" s="223"/>
      <c r="V59" s="67">
        <f t="shared" si="11"/>
        <v>727825.18518518552</v>
      </c>
      <c r="W59" s="67">
        <f t="shared" si="12"/>
        <v>1116550.0000000005</v>
      </c>
      <c r="X59" s="67">
        <f t="shared" si="23"/>
        <v>1100008.5185185191</v>
      </c>
      <c r="Y59" s="67">
        <f t="shared" si="24"/>
        <v>744366.66666666698</v>
      </c>
      <c r="Z59" s="58">
        <f t="shared" si="7"/>
        <v>16541.48148148146</v>
      </c>
    </row>
    <row r="60" spans="2:26" x14ac:dyDescent="0.25">
      <c r="B60" s="67">
        <f t="shared" si="18"/>
        <v>53</v>
      </c>
      <c r="C60" s="67">
        <f t="shared" si="15"/>
        <v>7</v>
      </c>
      <c r="D60" s="67">
        <f t="shared" si="0"/>
        <v>2022</v>
      </c>
      <c r="E60" s="122">
        <f t="shared" si="1"/>
        <v>44773</v>
      </c>
      <c r="F60" s="67">
        <f>IFERROR(HLOOKUP(IF($C$4="Все","Итого:",$C$4),'План продаж'!$L$5:$P$66,MATCH(Расчёт.ПрибылиВсё!$B60,'План продаж'!$B$5:$B$66,0),0),0)</f>
        <v>2805000</v>
      </c>
      <c r="G60" s="67">
        <f t="shared" si="3"/>
        <v>-1116550.0000000005</v>
      </c>
      <c r="H60" s="67">
        <f>IFERROR(HLOOKUP(IF($C$4="Все","Итого:",$C$4),'План продаж'!$Q$5:$U$66,MATCH(Расчёт.ПрибылиВсё!$B60,'План продаж'!$B$5:$B$66,0),0),0)</f>
        <v>1688449.9999999995</v>
      </c>
      <c r="I60" s="67">
        <f>-(HLOOKUP(IF($C$4="Все","Итого:",$C$4),'Расчёт.Постоянные расходы'!$B$5:$I$129,MATCH(Расчёт.ПрибылиВсё!$B60,'Расчёт.Постоянные расходы'!$B$5:$B$130,0),0))</f>
        <v>-560000</v>
      </c>
      <c r="J60" s="67">
        <f>-(HLOOKUP(IF($C$4="Все","Итого:",$C$4),Персонал!$Q$4:$V$129,MATCH(Расчёт.ПрибылиВсё!$B60,Персонал!$O$4:$O$129,0),0))</f>
        <v>-604500</v>
      </c>
      <c r="K60" s="67">
        <f>-SUMIFS(Инвестиции!$M$13:$M$20,Инвестиции!$B$13:$B$20,Расчёт.ПрибылиВсё!$D60)</f>
        <v>-84761.516666666663</v>
      </c>
      <c r="L60" s="67">
        <f t="shared" si="4"/>
        <v>439188.48333333287</v>
      </c>
      <c r="M60" s="67">
        <f>-IF($C$4="Все",SUMIFS('Заёмные средства'!$P:$P,'Заёмные средства'!$F:$F,Расчёт.ПрибылиВсё!$B60),0)</f>
        <v>0</v>
      </c>
      <c r="N60" s="67">
        <f>IF(IF(Персонал!Y57&gt;(-L60*0.15),(-L60*0.15)+Персонал!Y57*0.5,(-L60*0.15)+Персонал!Y57)&gt;0,-F60*0.01,IF(Персонал!Y57&gt;(-L60*0.15),(-L60*0.15)+Персонал!Y57*0.5,(-L60*0.15)+Персонал!Y57))</f>
        <v>-28050</v>
      </c>
      <c r="P60" s="67">
        <f t="shared" si="8"/>
        <v>74436.666666666701</v>
      </c>
      <c r="Q60" s="67">
        <f t="shared" si="9"/>
        <v>1116550.0000000005</v>
      </c>
      <c r="R60" s="67">
        <f t="shared" si="5"/>
        <v>1116550.0000000005</v>
      </c>
      <c r="S60" s="67">
        <f t="shared" si="10"/>
        <v>74436.666666666701</v>
      </c>
      <c r="T60" s="67">
        <f t="shared" si="6"/>
        <v>0</v>
      </c>
      <c r="U60" s="223"/>
      <c r="V60" s="67">
        <f t="shared" si="11"/>
        <v>744366.66666666698</v>
      </c>
      <c r="W60" s="67">
        <f t="shared" si="12"/>
        <v>1116550.0000000005</v>
      </c>
      <c r="X60" s="67">
        <f t="shared" si="23"/>
        <v>1116550.0000000005</v>
      </c>
      <c r="Y60" s="67">
        <f t="shared" si="24"/>
        <v>744366.66666666698</v>
      </c>
      <c r="Z60" s="58">
        <f t="shared" si="7"/>
        <v>0</v>
      </c>
    </row>
    <row r="61" spans="2:26" x14ac:dyDescent="0.25">
      <c r="B61" s="67">
        <f t="shared" si="18"/>
        <v>54</v>
      </c>
      <c r="C61" s="67">
        <f t="shared" si="15"/>
        <v>8</v>
      </c>
      <c r="D61" s="67">
        <f t="shared" si="0"/>
        <v>2022</v>
      </c>
      <c r="E61" s="122">
        <f t="shared" si="1"/>
        <v>44804</v>
      </c>
      <c r="F61" s="67">
        <f>IFERROR(HLOOKUP(IF($C$4="Все","Итого:",$C$4),'План продаж'!$L$5:$P$66,MATCH(Расчёт.ПрибылиВсё!$B61,'План продаж'!$B$5:$B$66,0),0),0)</f>
        <v>2805000</v>
      </c>
      <c r="G61" s="67">
        <f t="shared" si="3"/>
        <v>-1116550.0000000005</v>
      </c>
      <c r="H61" s="67">
        <f>IFERROR(HLOOKUP(IF($C$4="Все","Итого:",$C$4),'План продаж'!$Q$5:$U$66,MATCH(Расчёт.ПрибылиВсё!$B61,'План продаж'!$B$5:$B$66,0),0),0)</f>
        <v>1688449.9999999995</v>
      </c>
      <c r="I61" s="67">
        <f>-(HLOOKUP(IF($C$4="Все","Итого:",$C$4),'Расчёт.Постоянные расходы'!$B$5:$I$129,MATCH(Расчёт.ПрибылиВсё!$B61,'Расчёт.Постоянные расходы'!$B$5:$B$130,0),0))</f>
        <v>-560000</v>
      </c>
      <c r="J61" s="67">
        <f>-(HLOOKUP(IF($C$4="Все","Итого:",$C$4),Персонал!$Q$4:$V$129,MATCH(Расчёт.ПрибылиВсё!$B61,Персонал!$O$4:$O$129,0),0))</f>
        <v>-604500</v>
      </c>
      <c r="K61" s="67">
        <f>-SUMIFS(Инвестиции!$M$13:$M$20,Инвестиции!$B$13:$B$20,Расчёт.ПрибылиВсё!$D61)</f>
        <v>-84761.516666666663</v>
      </c>
      <c r="L61" s="67">
        <f t="shared" si="4"/>
        <v>439188.48333333287</v>
      </c>
      <c r="M61" s="67">
        <f>-IF($C$4="Все",SUMIFS('Заёмные средства'!$P:$P,'Заёмные средства'!$F:$F,Расчёт.ПрибылиВсё!$B61),0)</f>
        <v>0</v>
      </c>
      <c r="N61" s="67">
        <f>IF(IF(Персонал!Y58&gt;(-L61*0.15),(-L61*0.15)+Персонал!Y58*0.5,(-L61*0.15)+Персонал!Y58)&gt;0,-F61*0.01,IF(Персонал!Y58&gt;(-L61*0.15),(-L61*0.15)+Персонал!Y58*0.5,(-L61*0.15)+Персонал!Y58))</f>
        <v>-28050</v>
      </c>
      <c r="P61" s="67">
        <f t="shared" si="8"/>
        <v>74436.666666666701</v>
      </c>
      <c r="Q61" s="67">
        <f t="shared" si="9"/>
        <v>1116550.0000000005</v>
      </c>
      <c r="R61" s="67">
        <f t="shared" si="5"/>
        <v>1116550.0000000005</v>
      </c>
      <c r="S61" s="67">
        <f t="shared" si="10"/>
        <v>74436.666666666701</v>
      </c>
      <c r="T61" s="67">
        <f t="shared" si="6"/>
        <v>0</v>
      </c>
      <c r="U61" s="223"/>
      <c r="V61" s="67">
        <f t="shared" si="11"/>
        <v>744366.66666666698</v>
      </c>
      <c r="W61" s="67">
        <f t="shared" si="12"/>
        <v>1116550.0000000005</v>
      </c>
      <c r="X61" s="67">
        <f t="shared" si="23"/>
        <v>1116550.0000000005</v>
      </c>
      <c r="Y61" s="67">
        <f t="shared" si="24"/>
        <v>744366.66666666698</v>
      </c>
      <c r="Z61" s="58">
        <f t="shared" si="7"/>
        <v>0</v>
      </c>
    </row>
    <row r="62" spans="2:26" x14ac:dyDescent="0.25">
      <c r="B62" s="67">
        <f t="shared" si="18"/>
        <v>55</v>
      </c>
      <c r="C62" s="67">
        <f t="shared" si="15"/>
        <v>9</v>
      </c>
      <c r="D62" s="67">
        <f t="shared" si="0"/>
        <v>2022</v>
      </c>
      <c r="E62" s="122">
        <f t="shared" si="1"/>
        <v>44834</v>
      </c>
      <c r="F62" s="67">
        <f>IFERROR(HLOOKUP(IF($C$4="Все","Итого:",$C$4),'План продаж'!$L$5:$P$66,MATCH(Расчёт.ПрибылиВсё!$B62,'План продаж'!$B$5:$B$66,0),0),0)</f>
        <v>2805000</v>
      </c>
      <c r="G62" s="67">
        <f t="shared" si="3"/>
        <v>-1116550.0000000005</v>
      </c>
      <c r="H62" s="67">
        <f>IFERROR(HLOOKUP(IF($C$4="Все","Итого:",$C$4),'План продаж'!$Q$5:$U$66,MATCH(Расчёт.ПрибылиВсё!$B62,'План продаж'!$B$5:$B$66,0),0),0)</f>
        <v>1688449.9999999995</v>
      </c>
      <c r="I62" s="67">
        <f>-(HLOOKUP(IF($C$4="Все","Итого:",$C$4),'Расчёт.Постоянные расходы'!$B$5:$I$129,MATCH(Расчёт.ПрибылиВсё!$B62,'Расчёт.Постоянные расходы'!$B$5:$B$130,0),0))</f>
        <v>-560000</v>
      </c>
      <c r="J62" s="67">
        <f>-(HLOOKUP(IF($C$4="Все","Итого:",$C$4),Персонал!$Q$4:$V$129,MATCH(Расчёт.ПрибылиВсё!$B62,Персонал!$O$4:$O$129,0),0))</f>
        <v>-604500</v>
      </c>
      <c r="K62" s="67">
        <f>-SUMIFS(Инвестиции!$M$13:$M$20,Инвестиции!$B$13:$B$20,Расчёт.ПрибылиВсё!$D62)</f>
        <v>-84761.516666666663</v>
      </c>
      <c r="L62" s="67">
        <f t="shared" si="4"/>
        <v>439188.48333333287</v>
      </c>
      <c r="M62" s="67">
        <f>-IF($C$4="Все",SUMIFS('Заёмные средства'!$P:$P,'Заёмные средства'!$F:$F,Расчёт.ПрибылиВсё!$B62),0)</f>
        <v>0</v>
      </c>
      <c r="N62" s="67">
        <f>IF(IF(Персонал!Y59&gt;(-L62*0.15),(-L62*0.15)+Персонал!Y59*0.5,(-L62*0.15)+Персонал!Y59)&gt;0,-F62*0.01,IF(Персонал!Y59&gt;(-L62*0.15),(-L62*0.15)+Персонал!Y59*0.5,(-L62*0.15)+Персонал!Y59))</f>
        <v>-28050</v>
      </c>
      <c r="P62" s="67">
        <f t="shared" si="8"/>
        <v>74436.666666666701</v>
      </c>
      <c r="Q62" s="67">
        <f t="shared" si="9"/>
        <v>1116550.0000000005</v>
      </c>
      <c r="R62" s="67">
        <f t="shared" si="5"/>
        <v>1116550.0000000005</v>
      </c>
      <c r="S62" s="67">
        <f t="shared" si="10"/>
        <v>74436.666666666701</v>
      </c>
      <c r="T62" s="67">
        <f t="shared" si="6"/>
        <v>0</v>
      </c>
      <c r="U62" s="223"/>
      <c r="V62" s="67">
        <f t="shared" si="11"/>
        <v>744366.66666666698</v>
      </c>
      <c r="W62" s="67">
        <f t="shared" si="12"/>
        <v>1116550.0000000005</v>
      </c>
      <c r="X62" s="67">
        <f t="shared" si="23"/>
        <v>1116550.0000000005</v>
      </c>
      <c r="Y62" s="67">
        <f t="shared" si="24"/>
        <v>744366.66666666698</v>
      </c>
      <c r="Z62" s="58">
        <f t="shared" si="7"/>
        <v>0</v>
      </c>
    </row>
    <row r="63" spans="2:26" x14ac:dyDescent="0.25">
      <c r="B63" s="67">
        <f t="shared" si="18"/>
        <v>56</v>
      </c>
      <c r="C63" s="67">
        <f t="shared" si="15"/>
        <v>10</v>
      </c>
      <c r="D63" s="67">
        <f t="shared" si="0"/>
        <v>2022</v>
      </c>
      <c r="E63" s="122">
        <f t="shared" si="1"/>
        <v>44865</v>
      </c>
      <c r="F63" s="67">
        <f>IFERROR(HLOOKUP(IF($C$4="Все","Итого:",$C$4),'План продаж'!$L$5:$P$66,MATCH(Расчёт.ПрибылиВсё!$B63,'План продаж'!$B$5:$B$66,0),0),0)</f>
        <v>3740000</v>
      </c>
      <c r="G63" s="67">
        <f t="shared" si="3"/>
        <v>-1488733.333333334</v>
      </c>
      <c r="H63" s="67">
        <f>IFERROR(HLOOKUP(IF($C$4="Все","Итого:",$C$4),'План продаж'!$Q$5:$U$66,MATCH(Расчёт.ПрибылиВсё!$B63,'План продаж'!$B$5:$B$66,0),0),0)</f>
        <v>2251266.666666666</v>
      </c>
      <c r="I63" s="67">
        <f>-(HLOOKUP(IF($C$4="Все","Итого:",$C$4),'Расчёт.Постоянные расходы'!$B$5:$I$129,MATCH(Расчёт.ПрибылиВсё!$B63,'Расчёт.Постоянные расходы'!$B$5:$B$130,0),0))</f>
        <v>-560000</v>
      </c>
      <c r="J63" s="67">
        <f>-(HLOOKUP(IF($C$4="Все","Итого:",$C$4),Персонал!$Q$4:$V$129,MATCH(Расчёт.ПрибылиВсё!$B63,Персонал!$O$4:$O$129,0),0))</f>
        <v>-604500</v>
      </c>
      <c r="K63" s="67">
        <f>-SUMIFS(Инвестиции!$M$13:$M$20,Инвестиции!$B$13:$B$20,Расчёт.ПрибылиВсё!$D63)</f>
        <v>-84761.516666666663</v>
      </c>
      <c r="L63" s="67">
        <f t="shared" si="4"/>
        <v>1002005.1499999994</v>
      </c>
      <c r="M63" s="67">
        <f>-IF($C$4="Все",SUMIFS('Заёмные средства'!$P:$P,'Заёмные средства'!$F:$F,Расчёт.ПрибылиВсё!$B63),0)</f>
        <v>0</v>
      </c>
      <c r="N63" s="67">
        <f>IF(IF(Персонал!Y60&gt;(-L63*0.15),(-L63*0.15)+Персонал!Y60*0.5,(-L63*0.15)+Персонал!Y60)&gt;0,-F63*0.01,IF(Персонал!Y60&gt;(-L63*0.15),(-L63*0.15)+Персонал!Y60*0.5,(-L63*0.15)+Персонал!Y60))</f>
        <v>-80550.772499999905</v>
      </c>
      <c r="P63" s="67">
        <f t="shared" si="8"/>
        <v>74436.666666666701</v>
      </c>
      <c r="Q63" s="67">
        <f t="shared" si="9"/>
        <v>1513545.5555555562</v>
      </c>
      <c r="R63" s="67">
        <f t="shared" si="5"/>
        <v>1488733.333333334</v>
      </c>
      <c r="S63" s="67">
        <f t="shared" si="10"/>
        <v>99248.888888888934</v>
      </c>
      <c r="T63" s="67">
        <f t="shared" si="6"/>
        <v>24812.222222222234</v>
      </c>
      <c r="U63" s="223"/>
      <c r="V63" s="67">
        <f t="shared" si="11"/>
        <v>744366.66666666698</v>
      </c>
      <c r="W63" s="67">
        <f>Q63</f>
        <v>1513545.5555555562</v>
      </c>
      <c r="X63" s="67">
        <f t="shared" si="23"/>
        <v>1248881.8518518521</v>
      </c>
      <c r="Y63" s="67">
        <f>W63/30*20</f>
        <v>1009030.3703703708</v>
      </c>
      <c r="Z63" s="58">
        <f t="shared" si="7"/>
        <v>264663.70370370382</v>
      </c>
    </row>
    <row r="64" spans="2:26" x14ac:dyDescent="0.25">
      <c r="B64" s="67">
        <f t="shared" si="18"/>
        <v>57</v>
      </c>
      <c r="C64" s="67">
        <f t="shared" si="15"/>
        <v>11</v>
      </c>
      <c r="D64" s="67">
        <f t="shared" si="0"/>
        <v>2022</v>
      </c>
      <c r="E64" s="122">
        <f t="shared" si="1"/>
        <v>44895</v>
      </c>
      <c r="F64" s="67">
        <f>IFERROR(HLOOKUP(IF($C$4="Все","Итого:",$C$4),'План продаж'!$L$5:$P$66,MATCH(Расчёт.ПрибылиВсё!$B64,'План продаж'!$B$5:$B$66,0),0),0)</f>
        <v>3740000</v>
      </c>
      <c r="G64" s="67">
        <f t="shared" si="3"/>
        <v>-1488733.333333334</v>
      </c>
      <c r="H64" s="67">
        <f>IFERROR(HLOOKUP(IF($C$4="Все","Итого:",$C$4),'План продаж'!$Q$5:$U$66,MATCH(Расчёт.ПрибылиВсё!$B64,'План продаж'!$B$5:$B$66,0),0),0)</f>
        <v>2251266.666666666</v>
      </c>
      <c r="I64" s="67">
        <f>-(HLOOKUP(IF($C$4="Все","Итого:",$C$4),'Расчёт.Постоянные расходы'!$B$5:$I$129,MATCH(Расчёт.ПрибылиВсё!$B64,'Расчёт.Постоянные расходы'!$B$5:$B$130,0),0))</f>
        <v>-560000</v>
      </c>
      <c r="J64" s="67">
        <f>-(HLOOKUP(IF($C$4="Все","Итого:",$C$4),Персонал!$Q$4:$V$129,MATCH(Расчёт.ПрибылиВсё!$B64,Персонал!$O$4:$O$129,0),0))</f>
        <v>-604500</v>
      </c>
      <c r="K64" s="67">
        <f>-SUMIFS(Инвестиции!$M$13:$M$20,Инвестиции!$B$13:$B$20,Расчёт.ПрибылиВсё!$D64)</f>
        <v>-84761.516666666663</v>
      </c>
      <c r="L64" s="67">
        <f t="shared" si="4"/>
        <v>1002005.1499999994</v>
      </c>
      <c r="M64" s="67">
        <f>-IF($C$4="Все",SUMIFS('Заёмные средства'!$P:$P,'Заёмные средства'!$F:$F,Расчёт.ПрибылиВсё!$B64),0)</f>
        <v>0</v>
      </c>
      <c r="N64" s="67">
        <f>IF(IF(Персонал!Y61&gt;(-L64*0.15),(-L64*0.15)+Персонал!Y61*0.5,(-L64*0.15)+Персонал!Y61)&gt;0,-F64*0.01,IF(Персонал!Y61&gt;(-L64*0.15),(-L64*0.15)+Персонал!Y61*0.5,(-L64*0.15)+Персонал!Y61))</f>
        <v>-80550.772499999905</v>
      </c>
      <c r="P64" s="67">
        <f t="shared" si="8"/>
        <v>99248.888888888934</v>
      </c>
      <c r="Q64" s="67">
        <f t="shared" si="9"/>
        <v>1488733.333333334</v>
      </c>
      <c r="R64" s="67">
        <f t="shared" si="5"/>
        <v>1488733.333333334</v>
      </c>
      <c r="S64" s="67">
        <f t="shared" si="10"/>
        <v>99248.888888888934</v>
      </c>
      <c r="T64" s="67">
        <f t="shared" si="6"/>
        <v>0</v>
      </c>
      <c r="U64" s="223"/>
      <c r="V64" s="67">
        <f t="shared" si="11"/>
        <v>1009030.3703703708</v>
      </c>
      <c r="W64" s="67">
        <f t="shared" si="12"/>
        <v>1488733.333333334</v>
      </c>
      <c r="X64" s="67">
        <f t="shared" ref="X64:X67" si="25">V64+W64-Y64</f>
        <v>1505274.8148148153</v>
      </c>
      <c r="Y64" s="67">
        <f t="shared" ref="Y64:Y67" si="26">W64/30*20</f>
        <v>992488.88888888934</v>
      </c>
      <c r="Z64" s="58">
        <f t="shared" si="7"/>
        <v>-16541.48148148146</v>
      </c>
    </row>
    <row r="65" spans="2:26" x14ac:dyDescent="0.25">
      <c r="B65" s="67">
        <f t="shared" si="18"/>
        <v>58</v>
      </c>
      <c r="C65" s="67">
        <f t="shared" si="15"/>
        <v>12</v>
      </c>
      <c r="D65" s="67">
        <f t="shared" si="0"/>
        <v>2022</v>
      </c>
      <c r="E65" s="122">
        <f t="shared" si="1"/>
        <v>44926</v>
      </c>
      <c r="F65" s="67">
        <f>IFERROR(HLOOKUP(IF($C$4="Все","Итого:",$C$4),'План продаж'!$L$5:$P$66,MATCH(Расчёт.ПрибылиВсё!$B65,'План продаж'!$B$5:$B$66,0),0),0)</f>
        <v>3740000</v>
      </c>
      <c r="G65" s="67">
        <f t="shared" si="3"/>
        <v>-1488733.333333334</v>
      </c>
      <c r="H65" s="67">
        <f>IFERROR(HLOOKUP(IF($C$4="Все","Итого:",$C$4),'План продаж'!$Q$5:$U$66,MATCH(Расчёт.ПрибылиВсё!$B65,'План продаж'!$B$5:$B$66,0),0),0)</f>
        <v>2251266.666666666</v>
      </c>
      <c r="I65" s="67">
        <f>-(HLOOKUP(IF($C$4="Все","Итого:",$C$4),'Расчёт.Постоянные расходы'!$B$5:$I$129,MATCH(Расчёт.ПрибылиВсё!$B65,'Расчёт.Постоянные расходы'!$B$5:$B$130,0),0))</f>
        <v>-560000</v>
      </c>
      <c r="J65" s="67">
        <f>-(HLOOKUP(IF($C$4="Все","Итого:",$C$4),Персонал!$Q$4:$V$129,MATCH(Расчёт.ПрибылиВсё!$B65,Персонал!$O$4:$O$129,0),0))</f>
        <v>-604500</v>
      </c>
      <c r="K65" s="67">
        <f>-SUMIFS(Инвестиции!$M$13:$M$20,Инвестиции!$B$13:$B$20,Расчёт.ПрибылиВсё!$D65)</f>
        <v>-84761.516666666663</v>
      </c>
      <c r="L65" s="67">
        <f t="shared" si="4"/>
        <v>1002005.1499999994</v>
      </c>
      <c r="M65" s="67">
        <f>-IF($C$4="Все",SUMIFS('Заёмные средства'!$P:$P,'Заёмные средства'!$F:$F,Расчёт.ПрибылиВсё!$B65),0)</f>
        <v>0</v>
      </c>
      <c r="N65" s="67">
        <f>IF(IF(Персонал!Y62&gt;(-L65*0.15),(-L65*0.15)+Персонал!Y62*0.5,(-L65*0.15)+Персонал!Y62)&gt;0,-F65*0.01,IF(Персонал!Y62&gt;(-L65*0.15),(-L65*0.15)+Персонал!Y62*0.5,(-L65*0.15)+Персонал!Y62))</f>
        <v>-80550.772499999905</v>
      </c>
      <c r="P65" s="67">
        <f t="shared" si="8"/>
        <v>99248.888888888934</v>
      </c>
      <c r="Q65" s="67">
        <f t="shared" si="9"/>
        <v>1488733.333333334</v>
      </c>
      <c r="R65" s="67">
        <f t="shared" si="5"/>
        <v>1488733.333333334</v>
      </c>
      <c r="S65" s="67">
        <f t="shared" si="10"/>
        <v>99248.888888888934</v>
      </c>
      <c r="T65" s="67">
        <f t="shared" si="6"/>
        <v>0</v>
      </c>
      <c r="U65" s="223"/>
      <c r="V65" s="67">
        <f t="shared" si="11"/>
        <v>992488.88888888934</v>
      </c>
      <c r="W65" s="67">
        <f t="shared" si="12"/>
        <v>1488733.333333334</v>
      </c>
      <c r="X65" s="67">
        <f t="shared" si="25"/>
        <v>1488733.333333334</v>
      </c>
      <c r="Y65" s="67">
        <f t="shared" si="26"/>
        <v>992488.88888888934</v>
      </c>
      <c r="Z65" s="58">
        <f t="shared" si="7"/>
        <v>0</v>
      </c>
    </row>
    <row r="66" spans="2:26" x14ac:dyDescent="0.25">
      <c r="B66" s="67">
        <f t="shared" si="18"/>
        <v>59</v>
      </c>
      <c r="C66" s="67">
        <f t="shared" si="15"/>
        <v>1</v>
      </c>
      <c r="D66" s="67">
        <f t="shared" si="0"/>
        <v>2023</v>
      </c>
      <c r="E66" s="122">
        <f t="shared" si="1"/>
        <v>44957</v>
      </c>
      <c r="F66" s="67">
        <f>IFERROR(HLOOKUP(IF($C$4="Все","Итого:",$C$4),'План продаж'!$L$5:$P$66,MATCH(Расчёт.ПрибылиВсё!$B66,'План продаж'!$B$5:$B$66,0),0),0)</f>
        <v>3740000</v>
      </c>
      <c r="G66" s="67">
        <f t="shared" si="3"/>
        <v>-1488733.333333334</v>
      </c>
      <c r="H66" s="67">
        <f>IFERROR(HLOOKUP(IF($C$4="Все","Итого:",$C$4),'План продаж'!$Q$5:$U$66,MATCH(Расчёт.ПрибылиВсё!$B66,'План продаж'!$B$5:$B$66,0),0),0)</f>
        <v>2251266.666666666</v>
      </c>
      <c r="I66" s="67">
        <f>-(HLOOKUP(IF($C$4="Все","Итого:",$C$4),'Расчёт.Постоянные расходы'!$B$5:$I$129,MATCH(Расчёт.ПрибылиВсё!$B66,'Расчёт.Постоянные расходы'!$B$5:$B$130,0),0))</f>
        <v>-560000</v>
      </c>
      <c r="J66" s="67">
        <f>-(HLOOKUP(IF($C$4="Все","Итого:",$C$4),Персонал!$Q$4:$V$129,MATCH(Расчёт.ПрибылиВсё!$B66,Персонал!$O$4:$O$129,0),0))</f>
        <v>-604500</v>
      </c>
      <c r="K66" s="67">
        <f>-SUMIFS(Инвестиции!$M$13:$M$20,Инвестиции!$B$13:$B$20,Расчёт.ПрибылиВсё!$D66)</f>
        <v>-84761.516666666488</v>
      </c>
      <c r="L66" s="67">
        <f t="shared" si="4"/>
        <v>1002005.1499999996</v>
      </c>
      <c r="M66" s="67">
        <f>-IF($C$4="Все",SUMIFS('Заёмные средства'!$P:$P,'Заёмные средства'!$F:$F,Расчёт.ПрибылиВсё!$B66),0)</f>
        <v>0</v>
      </c>
      <c r="N66" s="67">
        <f>IF(IF(Персонал!Y63&gt;(-L66*0.15),(-L66*0.15)+Персонал!Y63*0.5,(-L66*0.15)+Персонал!Y63)&gt;0,-F66*0.01,IF(Персонал!Y63&gt;(-L66*0.15),(-L66*0.15)+Персонал!Y63*0.5,(-L66*0.15)+Персонал!Y63))</f>
        <v>-80550.772499999934</v>
      </c>
      <c r="P66" s="67">
        <f t="shared" si="8"/>
        <v>99248.888888888934</v>
      </c>
      <c r="Q66" s="67">
        <f t="shared" si="9"/>
        <v>1488733.333333334</v>
      </c>
      <c r="R66" s="67">
        <f t="shared" si="5"/>
        <v>1488733.333333334</v>
      </c>
      <c r="S66" s="67">
        <f t="shared" si="10"/>
        <v>99248.888888888934</v>
      </c>
      <c r="T66" s="67">
        <f t="shared" si="6"/>
        <v>0</v>
      </c>
      <c r="U66" s="223"/>
      <c r="V66" s="67">
        <f t="shared" si="11"/>
        <v>992488.88888888934</v>
      </c>
      <c r="W66" s="67">
        <f t="shared" si="12"/>
        <v>1488733.333333334</v>
      </c>
      <c r="X66" s="67">
        <f t="shared" si="25"/>
        <v>1488733.333333334</v>
      </c>
      <c r="Y66" s="67">
        <f t="shared" si="26"/>
        <v>992488.88888888934</v>
      </c>
      <c r="Z66" s="58">
        <f t="shared" si="7"/>
        <v>0</v>
      </c>
    </row>
    <row r="67" spans="2:26" x14ac:dyDescent="0.25">
      <c r="B67" s="67">
        <f t="shared" si="18"/>
        <v>60</v>
      </c>
      <c r="C67" s="67">
        <f t="shared" si="15"/>
        <v>2</v>
      </c>
      <c r="D67" s="67">
        <f t="shared" si="0"/>
        <v>2023</v>
      </c>
      <c r="E67" s="122">
        <f t="shared" si="1"/>
        <v>44985</v>
      </c>
      <c r="F67" s="67">
        <f>IFERROR(HLOOKUP(IF($C$4="Все","Итого:",$C$4),'План продаж'!$L$5:$P$66,MATCH(Расчёт.ПрибылиВсё!$B67,'План продаж'!$B$5:$B$66,0),0),0)</f>
        <v>3740000</v>
      </c>
      <c r="G67" s="67">
        <f t="shared" si="3"/>
        <v>-1488733.333333334</v>
      </c>
      <c r="H67" s="67">
        <f>IFERROR(HLOOKUP(IF($C$4="Все","Итого:",$C$4),'План продаж'!$Q$5:$U$66,MATCH(Расчёт.ПрибылиВсё!$B67,'План продаж'!$B$5:$B$66,0),0),0)</f>
        <v>2251266.666666666</v>
      </c>
      <c r="I67" s="67">
        <f>-(HLOOKUP(IF($C$4="Все","Итого:",$C$4),'Расчёт.Постоянные расходы'!$B$5:$I$129,MATCH(Расчёт.ПрибылиВсё!$B67,'Расчёт.Постоянные расходы'!$B$5:$B$130,0),0))</f>
        <v>-560000</v>
      </c>
      <c r="J67" s="67">
        <f>-(HLOOKUP(IF($C$4="Все","Итого:",$C$4),Персонал!$Q$4:$V$129,MATCH(Расчёт.ПрибылиВсё!$B67,Персонал!$O$4:$O$129,0),0))</f>
        <v>-604500</v>
      </c>
      <c r="K67" s="67">
        <f>-SUMIFS(Инвестиции!$M$13:$M$20,Инвестиции!$B$13:$B$20,Расчёт.ПрибылиВсё!$D67)</f>
        <v>-84761.516666666488</v>
      </c>
      <c r="L67" s="67">
        <f t="shared" si="4"/>
        <v>1002005.1499999996</v>
      </c>
      <c r="M67" s="67">
        <f>-IF($C$4="Все",SUMIFS('Заёмные средства'!$P:$P,'Заёмные средства'!$F:$F,Расчёт.ПрибылиВсё!$B67),0)</f>
        <v>0</v>
      </c>
      <c r="N67" s="67">
        <f>IF(IF(Персонал!Y64&gt;(-L67*0.15),(-L67*0.15)+Персонал!Y64*0.5,(-L67*0.15)+Персонал!Y64)&gt;0,-F67*0.01,IF(Персонал!Y64&gt;(-L67*0.15),(-L67*0.15)+Персонал!Y64*0.5,(-L67*0.15)+Персонал!Y64))</f>
        <v>-80550.772499999934</v>
      </c>
      <c r="P67" s="67">
        <f t="shared" si="8"/>
        <v>99248.888888888934</v>
      </c>
      <c r="Q67" s="67">
        <f t="shared" si="9"/>
        <v>1488733.333333334</v>
      </c>
      <c r="R67" s="67">
        <f t="shared" si="5"/>
        <v>1488733.333333334</v>
      </c>
      <c r="S67" s="67">
        <f t="shared" si="10"/>
        <v>99248.888888888934</v>
      </c>
      <c r="T67" s="67">
        <f t="shared" si="6"/>
        <v>0</v>
      </c>
      <c r="U67" s="223"/>
      <c r="V67" s="67">
        <f t="shared" si="11"/>
        <v>992488.88888888934</v>
      </c>
      <c r="W67" s="67">
        <f t="shared" si="12"/>
        <v>1488733.333333334</v>
      </c>
      <c r="X67" s="67">
        <f t="shared" si="25"/>
        <v>1488733.333333334</v>
      </c>
      <c r="Y67" s="67">
        <f t="shared" si="26"/>
        <v>992488.88888888934</v>
      </c>
      <c r="Z67" s="58">
        <f t="shared" si="7"/>
        <v>0</v>
      </c>
    </row>
  </sheetData>
  <mergeCells count="2">
    <mergeCell ref="P5:T5"/>
    <mergeCell ref="V5:Y5"/>
  </mergeCells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</sheetPr>
  <dimension ref="B1:AA67"/>
  <sheetViews>
    <sheetView workbookViewId="0">
      <selection activeCell="F8" sqref="F8"/>
    </sheetView>
  </sheetViews>
  <sheetFormatPr defaultRowHeight="15" x14ac:dyDescent="0.25"/>
  <cols>
    <col min="1" max="1" width="9.140625" style="1"/>
    <col min="2" max="2" width="27.28515625" style="1" bestFit="1" customWidth="1"/>
    <col min="3" max="4" width="9.28515625" style="1" bestFit="1" customWidth="1"/>
    <col min="5" max="5" width="10.28515625" style="110" bestFit="1" customWidth="1"/>
    <col min="6" max="6" width="16.5703125" style="1" bestFit="1" customWidth="1"/>
    <col min="7" max="7" width="18.5703125" style="1" customWidth="1"/>
    <col min="8" max="8" width="17.5703125" style="1" customWidth="1"/>
    <col min="9" max="9" width="18.7109375" style="1" customWidth="1"/>
    <col min="10" max="10" width="14.42578125" style="1" customWidth="1"/>
    <col min="11" max="11" width="16.28515625" style="1" customWidth="1"/>
    <col min="12" max="12" width="14.42578125" style="1" customWidth="1"/>
    <col min="13" max="14" width="16.5703125" style="1" customWidth="1"/>
    <col min="15" max="15" width="9.140625" style="1"/>
    <col min="16" max="16" width="103.5703125" style="1" customWidth="1"/>
    <col min="17" max="16384" width="9.140625" style="1"/>
  </cols>
  <sheetData>
    <row r="1" spans="2:27" ht="21" x14ac:dyDescent="0.35">
      <c r="B1" s="43" t="s">
        <v>204</v>
      </c>
    </row>
    <row r="2" spans="2:27" ht="12" customHeight="1" x14ac:dyDescent="0.35">
      <c r="B2" s="95"/>
      <c r="C2" s="95"/>
      <c r="D2" s="95"/>
      <c r="E2" s="121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2:27" ht="12" customHeight="1" x14ac:dyDescent="0.25">
      <c r="E3" s="1"/>
    </row>
    <row r="4" spans="2:27" ht="12" customHeight="1" x14ac:dyDescent="0.25">
      <c r="B4" s="1" t="s">
        <v>218</v>
      </c>
      <c r="C4" s="220" t="str">
        <f>Прибыль!$C$4</f>
        <v>Все</v>
      </c>
      <c r="E4" s="1"/>
    </row>
    <row r="5" spans="2:27" ht="15.75" thickBot="1" x14ac:dyDescent="0.3"/>
    <row r="6" spans="2:27" ht="29.25" customHeight="1" thickTop="1" thickBot="1" x14ac:dyDescent="0.3">
      <c r="B6" s="141" t="s">
        <v>45</v>
      </c>
      <c r="C6" s="141" t="s">
        <v>7</v>
      </c>
      <c r="D6" s="141" t="s">
        <v>46</v>
      </c>
      <c r="E6" s="144" t="s">
        <v>47</v>
      </c>
      <c r="F6" s="141" t="s">
        <v>167</v>
      </c>
      <c r="G6" s="159" t="s">
        <v>220</v>
      </c>
      <c r="H6" s="141" t="s">
        <v>60</v>
      </c>
      <c r="I6" s="141" t="s">
        <v>179</v>
      </c>
      <c r="J6" s="141" t="s">
        <v>180</v>
      </c>
      <c r="K6" s="159" t="s">
        <v>224</v>
      </c>
      <c r="L6" s="154" t="s">
        <v>329</v>
      </c>
      <c r="M6" s="141" t="s">
        <v>196</v>
      </c>
      <c r="N6" s="159" t="s">
        <v>374</v>
      </c>
    </row>
    <row r="7" spans="2:27" ht="18.75" customHeight="1" thickTop="1" thickBot="1" x14ac:dyDescent="0.3">
      <c r="B7" s="67">
        <v>0</v>
      </c>
      <c r="C7" s="67">
        <f>Настройки!$I$9</f>
        <v>2</v>
      </c>
      <c r="D7" s="67">
        <f t="shared" ref="D7:D67" si="0">YEAR(E7)</f>
        <v>2018</v>
      </c>
      <c r="E7" s="122">
        <f t="shared" ref="E7:E67" si="1">EOMONTH(ДатаНачала,B7)</f>
        <v>43159</v>
      </c>
      <c r="F7" s="67"/>
      <c r="G7" s="67"/>
      <c r="H7" s="67"/>
      <c r="I7" s="67"/>
      <c r="J7" s="67"/>
      <c r="K7" s="67"/>
      <c r="L7" s="67"/>
      <c r="M7" s="67"/>
      <c r="N7" s="67"/>
      <c r="P7" s="270" t="s">
        <v>205</v>
      </c>
    </row>
    <row r="8" spans="2:27" ht="16.5" thickTop="1" thickBot="1" x14ac:dyDescent="0.3">
      <c r="B8" s="67">
        <f t="shared" ref="B8:C23" si="2">B7+1</f>
        <v>1</v>
      </c>
      <c r="C8" s="67">
        <f t="shared" si="2"/>
        <v>3</v>
      </c>
      <c r="D8" s="67">
        <f t="shared" si="0"/>
        <v>2018</v>
      </c>
      <c r="E8" s="122">
        <f t="shared" si="1"/>
        <v>43190</v>
      </c>
      <c r="F8" s="67">
        <f>IFERROR(HLOOKUP(IF($C$4="Все","Итого:",$C$4),'План продаж'!$L$5:$P$66,MATCH(Расчёт.ПрибылиПоПодразделениям!$B8,'План продаж'!$B$5:$B$66,0),0),0)</f>
        <v>1260000</v>
      </c>
      <c r="G8" s="67">
        <f>H8-F8</f>
        <v>-390600.00000000023</v>
      </c>
      <c r="H8" s="67">
        <f>IFERROR(HLOOKUP(IF($C$4="Все","Итого:",$C$4),'План продаж'!$Q$5:$U$66,MATCH(Расчёт.ПрибылиПоПодразделениям!$B8,'План продаж'!$B$5:$B$66,0),0),0)</f>
        <v>869399.99999999977</v>
      </c>
      <c r="I8" s="67">
        <f>-(HLOOKUP(IF($C$4="Все","Итого:",$C$4),'Расчёт.Постоянные расходы'!$B$5:$I$129,MATCH(Расчёт.ПрибылиПоПодразделениям!$B8,'Расчёт.Постоянные расходы'!$B$5:$B$130,0),0))</f>
        <v>-560000</v>
      </c>
      <c r="J8" s="67">
        <f>-(HLOOKUP(IF($C$4="Все","Итого:",$C$4),Персонал!$Q$4:$V$129,MATCH(Расчёт.ПрибылиПоПодразделениям!$B8,Персонал!$O$4:$O$129,0),0))</f>
        <v>-448500</v>
      </c>
      <c r="K8" s="67">
        <f>-SUMIFS(Инвестиции!$M$13:$M$20,Инвестиции!$B$13:$B$20,Расчёт.ПрибылиПоПодразделениям!$D8)</f>
        <v>-77055.924242424255</v>
      </c>
      <c r="L8" s="67">
        <f>SUM(H8:K8)</f>
        <v>-216155.92424242449</v>
      </c>
      <c r="M8" s="67">
        <f>-IF($C$4="Все",SUMIFS('Заёмные средства'!$P:$P,'Заёмные средства'!$F:$F,Расчёт.ПрибылиПоПодразделениям!$B8),0)</f>
        <v>-68750</v>
      </c>
      <c r="N8" s="67">
        <f>IF(IF(Персонал!Y5&gt;(-L8*0.15),(-L8*0.15)+Персонал!Y5*0.5,(-L8*0.15)+Персонал!Y5)&gt;0,-F8*0.01,IF(Персонал!Y5&gt;(-L8*0.15),(-L8*0.15)+Персонал!Y5*0.5,(-L8*0.15)+Персонал!Y5))</f>
        <v>-12600</v>
      </c>
      <c r="P8" s="270"/>
    </row>
    <row r="9" spans="2:27" ht="16.5" thickTop="1" thickBot="1" x14ac:dyDescent="0.3">
      <c r="B9" s="67">
        <f t="shared" si="2"/>
        <v>2</v>
      </c>
      <c r="C9" s="67">
        <f t="shared" si="2"/>
        <v>4</v>
      </c>
      <c r="D9" s="67">
        <f t="shared" si="0"/>
        <v>2018</v>
      </c>
      <c r="E9" s="122">
        <f t="shared" si="1"/>
        <v>43220</v>
      </c>
      <c r="F9" s="67">
        <f>IFERROR(HLOOKUP(IF($C$4="Все","Итого:",$C$4),'План продаж'!$L$5:$P$66,MATCH(Расчёт.ПрибылиПоПодразделениям!$B9,'План продаж'!$B$5:$B$66,0),0),0)</f>
        <v>1670000</v>
      </c>
      <c r="G9" s="67">
        <f t="shared" ref="G9:G67" si="3">H9-F9</f>
        <v>-538933.33333333372</v>
      </c>
      <c r="H9" s="67">
        <f>IFERROR(HLOOKUP(IF($C$4="Все","Итого:",$C$4),'План продаж'!$Q$5:$U$66,MATCH(Расчёт.ПрибылиПоПодразделениям!$B9,'План продаж'!$B$5:$B$66,0),0),0)</f>
        <v>1131066.6666666663</v>
      </c>
      <c r="I9" s="67">
        <f>-(HLOOKUP(IF($C$4="Все","Итого:",$C$4),'Расчёт.Постоянные расходы'!$B$5:$I$129,MATCH(Расчёт.ПрибылиПоПодразделениям!$B9,'Расчёт.Постоянные расходы'!$B$5:$B$130,0),0))</f>
        <v>-560000</v>
      </c>
      <c r="J9" s="67">
        <f>-(HLOOKUP(IF($C$4="Все","Итого:",$C$4),Персонал!$Q$4:$V$129,MATCH(Расчёт.ПрибылиПоПодразделениям!$B9,Персонал!$O$4:$O$129,0),0))</f>
        <v>-448500</v>
      </c>
      <c r="K9" s="67">
        <f>-SUMIFS(Инвестиции!$M$13:$M$20,Инвестиции!$B$13:$B$20,Расчёт.ПрибылиПоПодразделениям!$D9)</f>
        <v>-77055.924242424255</v>
      </c>
      <c r="L9" s="67">
        <f t="shared" ref="L9:L67" si="4">SUM(H9:K9)</f>
        <v>45510.742424242024</v>
      </c>
      <c r="M9" s="67">
        <f>-IF($C$4="Все",SUMIFS('Заёмные средства'!$P:$P,'Заёмные средства'!$F:$F,Расчёт.ПрибылиПоПодразделениям!$B9),0)</f>
        <v>-66840.277777777766</v>
      </c>
      <c r="N9" s="67">
        <f>IF(IF(Персонал!Y6&gt;(-L9*0.15),(-L9*0.15)+Персонал!Y6*0.5,(-L9*0.15)+Персонал!Y6)&gt;0,-F9*0.01,IF(Персонал!Y6&gt;(-L9*0.15),(-L9*0.15)+Персонал!Y6*0.5,(-L9*0.15)+Персонал!Y6))</f>
        <v>-16700</v>
      </c>
      <c r="P9" s="270"/>
    </row>
    <row r="10" spans="2:27" ht="16.5" thickTop="1" thickBot="1" x14ac:dyDescent="0.3">
      <c r="B10" s="67">
        <f t="shared" si="2"/>
        <v>3</v>
      </c>
      <c r="C10" s="67">
        <f t="shared" si="2"/>
        <v>5</v>
      </c>
      <c r="D10" s="67">
        <f t="shared" si="0"/>
        <v>2018</v>
      </c>
      <c r="E10" s="122">
        <f t="shared" si="1"/>
        <v>43251</v>
      </c>
      <c r="F10" s="67">
        <f>IFERROR(HLOOKUP(IF($C$4="Все","Итого:",$C$4),'План продаж'!$L$5:$P$66,MATCH(Расчёт.ПрибылиПоПодразделениям!$B10,'План продаж'!$B$5:$B$66,0),0),0)</f>
        <v>1252500</v>
      </c>
      <c r="G10" s="67">
        <f t="shared" si="3"/>
        <v>-404200.00000000012</v>
      </c>
      <c r="H10" s="67">
        <f>IFERROR(HLOOKUP(IF($C$4="Все","Итого:",$C$4),'План продаж'!$Q$5:$U$66,MATCH(Расчёт.ПрибылиПоПодразделениям!$B10,'План продаж'!$B$5:$B$66,0),0),0)</f>
        <v>848299.99999999988</v>
      </c>
      <c r="I10" s="67">
        <f>-(HLOOKUP(IF($C$4="Все","Итого:",$C$4),'Расчёт.Постоянные расходы'!$B$5:$I$129,MATCH(Расчёт.ПрибылиПоПодразделениям!$B10,'Расчёт.Постоянные расходы'!$B$5:$B$130,0),0))</f>
        <v>-560000</v>
      </c>
      <c r="J10" s="67">
        <f>-(HLOOKUP(IF($C$4="Все","Итого:",$C$4),Персонал!$Q$4:$V$129,MATCH(Расчёт.ПрибылиПоПодразделениям!$B10,Персонал!$O$4:$O$129,0),0))</f>
        <v>-448500</v>
      </c>
      <c r="K10" s="67">
        <f>-SUMIFS(Инвестиции!$M$13:$M$20,Инвестиции!$B$13:$B$20,Расчёт.ПрибылиПоПодразделениям!$D10)</f>
        <v>-77055.924242424255</v>
      </c>
      <c r="L10" s="67">
        <f t="shared" si="4"/>
        <v>-237255.92424242437</v>
      </c>
      <c r="M10" s="67">
        <f>-IF($C$4="Все",SUMIFS('Заёмные средства'!$P:$P,'Заёмные средства'!$F:$F,Расчёт.ПрибылиПоПодразделениям!$B10),0)</f>
        <v>-64930.555555555547</v>
      </c>
      <c r="N10" s="67">
        <f>IF(IF(Персонал!Y7&gt;(-L10*0.15),(-L10*0.15)+Персонал!Y7*0.5,(-L10*0.15)+Персонал!Y7)&gt;0,-F10*0.01,IF(Персонал!Y7&gt;(-L10*0.15),(-L10*0.15)+Персонал!Y7*0.5,(-L10*0.15)+Персонал!Y7))</f>
        <v>-12525</v>
      </c>
      <c r="P10" s="270"/>
    </row>
    <row r="11" spans="2:27" ht="16.5" thickTop="1" thickBot="1" x14ac:dyDescent="0.3">
      <c r="B11" s="67">
        <f t="shared" si="2"/>
        <v>4</v>
      </c>
      <c r="C11" s="67">
        <f t="shared" si="2"/>
        <v>6</v>
      </c>
      <c r="D11" s="67">
        <f t="shared" si="0"/>
        <v>2018</v>
      </c>
      <c r="E11" s="122">
        <f t="shared" si="1"/>
        <v>43281</v>
      </c>
      <c r="F11" s="67">
        <f>IFERROR(HLOOKUP(IF($C$4="Все","Итого:",$C$4),'План продаж'!$L$5:$P$66,MATCH(Расчёт.ПрибылиПоПодразделениям!$B11,'План продаж'!$B$5:$B$66,0),0),0)</f>
        <v>1252500</v>
      </c>
      <c r="G11" s="67">
        <f t="shared" si="3"/>
        <v>-404200.00000000012</v>
      </c>
      <c r="H11" s="67">
        <f>IFERROR(HLOOKUP(IF($C$4="Все","Итого:",$C$4),'План продаж'!$Q$5:$U$66,MATCH(Расчёт.ПрибылиПоПодразделениям!$B11,'План продаж'!$B$5:$B$66,0),0),0)</f>
        <v>848299.99999999988</v>
      </c>
      <c r="I11" s="67">
        <f>-(HLOOKUP(IF($C$4="Все","Итого:",$C$4),'Расчёт.Постоянные расходы'!$B$5:$I$129,MATCH(Расчёт.ПрибылиПоПодразделениям!$B11,'Расчёт.Постоянные расходы'!$B$5:$B$130,0),0))</f>
        <v>-560000</v>
      </c>
      <c r="J11" s="67">
        <f>-(HLOOKUP(IF($C$4="Все","Итого:",$C$4),Персонал!$Q$4:$V$129,MATCH(Расчёт.ПрибылиПоПодразделениям!$B11,Персонал!$O$4:$O$129,0),0))</f>
        <v>-448500</v>
      </c>
      <c r="K11" s="67">
        <f>-SUMIFS(Инвестиции!$M$13:$M$20,Инвестиции!$B$13:$B$20,Расчёт.ПрибылиПоПодразделениям!$D11)</f>
        <v>-77055.924242424255</v>
      </c>
      <c r="L11" s="67">
        <f t="shared" si="4"/>
        <v>-237255.92424242437</v>
      </c>
      <c r="M11" s="67">
        <f>-IF($C$4="Все",SUMIFS('Заёмные средства'!$P:$P,'Заёмные средства'!$F:$F,Расчёт.ПрибылиПоПодразделениям!$B11),0)</f>
        <v>-63020.833333333321</v>
      </c>
      <c r="N11" s="67">
        <f>IF(IF(Персонал!Y8&gt;(-L11*0.15),(-L11*0.15)+Персонал!Y8*0.5,(-L11*0.15)+Персонал!Y8)&gt;0,-F11*0.01,IF(Персонал!Y8&gt;(-L11*0.15),(-L11*0.15)+Персонал!Y8*0.5,(-L11*0.15)+Персонал!Y8))</f>
        <v>-12525</v>
      </c>
      <c r="P11" s="270"/>
    </row>
    <row r="12" spans="2:27" ht="16.5" thickTop="1" thickBot="1" x14ac:dyDescent="0.3">
      <c r="B12" s="67">
        <f t="shared" si="2"/>
        <v>5</v>
      </c>
      <c r="C12" s="67">
        <f t="shared" ref="C12:C67" si="5">IF(C11=12,1,C11+1)</f>
        <v>7</v>
      </c>
      <c r="D12" s="67">
        <f t="shared" si="0"/>
        <v>2018</v>
      </c>
      <c r="E12" s="122">
        <f t="shared" si="1"/>
        <v>43312</v>
      </c>
      <c r="F12" s="67">
        <f>IFERROR(HLOOKUP(IF($C$4="Все","Итого:",$C$4),'План продаж'!$L$5:$P$66,MATCH(Расчёт.ПрибылиПоПодразделениям!$B12,'План продаж'!$B$5:$B$66,0),0),0)</f>
        <v>2010000</v>
      </c>
      <c r="G12" s="67">
        <f t="shared" si="3"/>
        <v>-743225.00000000023</v>
      </c>
      <c r="H12" s="67">
        <f>IFERROR(HLOOKUP(IF($C$4="Все","Итого:",$C$4),'План продаж'!$Q$5:$U$66,MATCH(Расчёт.ПрибылиПоПодразделениям!$B12,'План продаж'!$B$5:$B$66,0),0),0)</f>
        <v>1266774.9999999998</v>
      </c>
      <c r="I12" s="67">
        <f>-(HLOOKUP(IF($C$4="Все","Итого:",$C$4),'Расчёт.Постоянные расходы'!$B$5:$I$129,MATCH(Расчёт.ПрибылиПоПодразделениям!$B12,'Расчёт.Постоянные расходы'!$B$5:$B$130,0),0))</f>
        <v>-560000</v>
      </c>
      <c r="J12" s="67">
        <f>-(HLOOKUP(IF($C$4="Все","Итого:",$C$4),Персонал!$Q$4:$V$129,MATCH(Расчёт.ПрибылиПоПодразделениям!$B12,Персонал!$O$4:$O$129,0),0))</f>
        <v>-526500</v>
      </c>
      <c r="K12" s="67">
        <f>-SUMIFS(Инвестиции!$M$13:$M$20,Инвестиции!$B$13:$B$20,Расчёт.ПрибылиПоПодразделениям!$D12)</f>
        <v>-77055.924242424255</v>
      </c>
      <c r="L12" s="67">
        <f t="shared" si="4"/>
        <v>103219.07575757551</v>
      </c>
      <c r="M12" s="67">
        <f>-IF($C$4="Все",SUMIFS('Заёмные средства'!$P:$P,'Заёмные средства'!$F:$F,Расчёт.ПрибылиПоПодразделениям!$B12),0)</f>
        <v>-61111.111111111095</v>
      </c>
      <c r="N12" s="67">
        <f>IF(IF(Персонал!Y9&gt;(-L12*0.15),(-L12*0.15)+Персонал!Y9*0.5,(-L12*0.15)+Персонал!Y9)&gt;0,-F12*0.01,IF(Персонал!Y9&gt;(-L12*0.15),(-L12*0.15)+Персонал!Y9*0.5,(-L12*0.15)+Персонал!Y9))</f>
        <v>-20100</v>
      </c>
      <c r="P12" s="270"/>
    </row>
    <row r="13" spans="2:27" ht="16.5" thickTop="1" thickBot="1" x14ac:dyDescent="0.3">
      <c r="B13" s="67">
        <f t="shared" si="2"/>
        <v>6</v>
      </c>
      <c r="C13" s="67">
        <f t="shared" si="5"/>
        <v>8</v>
      </c>
      <c r="D13" s="67">
        <f t="shared" si="0"/>
        <v>2018</v>
      </c>
      <c r="E13" s="122">
        <f t="shared" si="1"/>
        <v>43343</v>
      </c>
      <c r="F13" s="67">
        <f>IFERROR(HLOOKUP(IF($C$4="Все","Итого:",$C$4),'План продаж'!$L$5:$P$66,MATCH(Расчёт.ПрибылиПоПодразделениям!$B13,'План продаж'!$B$5:$B$66,0),0),0)</f>
        <v>2010000</v>
      </c>
      <c r="G13" s="67">
        <f t="shared" si="3"/>
        <v>-743225.00000000023</v>
      </c>
      <c r="H13" s="67">
        <f>IFERROR(HLOOKUP(IF($C$4="Все","Итого:",$C$4),'План продаж'!$Q$5:$U$66,MATCH(Расчёт.ПрибылиПоПодразделениям!$B13,'План продаж'!$B$5:$B$66,0),0),0)</f>
        <v>1266774.9999999998</v>
      </c>
      <c r="I13" s="67">
        <f>-(HLOOKUP(IF($C$4="Все","Итого:",$C$4),'Расчёт.Постоянные расходы'!$B$5:$I$129,MATCH(Расчёт.ПрибылиПоПодразделениям!$B13,'Расчёт.Постоянные расходы'!$B$5:$B$130,0),0))</f>
        <v>-560000</v>
      </c>
      <c r="J13" s="67">
        <f>-(HLOOKUP(IF($C$4="Все","Итого:",$C$4),Персонал!$Q$4:$V$129,MATCH(Расчёт.ПрибылиПоПодразделениям!$B13,Персонал!$O$4:$O$129,0),0))</f>
        <v>-526500</v>
      </c>
      <c r="K13" s="67">
        <f>-SUMIFS(Инвестиции!$M$13:$M$20,Инвестиции!$B$13:$B$20,Расчёт.ПрибылиПоПодразделениям!$D13)</f>
        <v>-77055.924242424255</v>
      </c>
      <c r="L13" s="67">
        <f t="shared" si="4"/>
        <v>103219.07575757551</v>
      </c>
      <c r="M13" s="67">
        <f>-IF($C$4="Все",SUMIFS('Заёмные средства'!$P:$P,'Заёмные средства'!$F:$F,Расчёт.ПрибылиПоПодразделениям!$B13),0)</f>
        <v>-59201.388888888869</v>
      </c>
      <c r="N13" s="67">
        <f>IF(IF(Персонал!Y10&gt;(-L13*0.15),(-L13*0.15)+Персонал!Y10*0.5,(-L13*0.15)+Персонал!Y10)&gt;0,-F13*0.01,IF(Персонал!Y10&gt;(-L13*0.15),(-L13*0.15)+Персонал!Y10*0.5,(-L13*0.15)+Персонал!Y10))</f>
        <v>-20100</v>
      </c>
      <c r="P13" s="270"/>
    </row>
    <row r="14" spans="2:27" ht="16.5" thickTop="1" thickBot="1" x14ac:dyDescent="0.3">
      <c r="B14" s="67">
        <f t="shared" si="2"/>
        <v>7</v>
      </c>
      <c r="C14" s="67">
        <f t="shared" si="5"/>
        <v>9</v>
      </c>
      <c r="D14" s="67">
        <f t="shared" si="0"/>
        <v>2018</v>
      </c>
      <c r="E14" s="122">
        <f t="shared" si="1"/>
        <v>43373</v>
      </c>
      <c r="F14" s="67">
        <f>IFERROR(HLOOKUP(IF($C$4="Все","Итого:",$C$4),'План продаж'!$L$5:$P$66,MATCH(Расчёт.ПрибылиПоПодразделениям!$B14,'План продаж'!$B$5:$B$66,0),0),0)</f>
        <v>2010000</v>
      </c>
      <c r="G14" s="67">
        <f t="shared" si="3"/>
        <v>-743225.00000000023</v>
      </c>
      <c r="H14" s="67">
        <f>IFERROR(HLOOKUP(IF($C$4="Все","Итого:",$C$4),'План продаж'!$Q$5:$U$66,MATCH(Расчёт.ПрибылиПоПодразделениям!$B14,'План продаж'!$B$5:$B$66,0),0),0)</f>
        <v>1266774.9999999998</v>
      </c>
      <c r="I14" s="67">
        <f>-(HLOOKUP(IF($C$4="Все","Итого:",$C$4),'Расчёт.Постоянные расходы'!$B$5:$I$129,MATCH(Расчёт.ПрибылиПоПодразделениям!$B14,'Расчёт.Постоянные расходы'!$B$5:$B$130,0),0))</f>
        <v>-560000</v>
      </c>
      <c r="J14" s="67">
        <f>-(HLOOKUP(IF($C$4="Все","Итого:",$C$4),Персонал!$Q$4:$V$129,MATCH(Расчёт.ПрибылиПоПодразделениям!$B14,Персонал!$O$4:$O$129,0),0))</f>
        <v>-526500</v>
      </c>
      <c r="K14" s="67">
        <f>-SUMIFS(Инвестиции!$M$13:$M$20,Инвестиции!$B$13:$B$20,Расчёт.ПрибылиПоПодразделениям!$D14)</f>
        <v>-77055.924242424255</v>
      </c>
      <c r="L14" s="67">
        <f t="shared" si="4"/>
        <v>103219.07575757551</v>
      </c>
      <c r="M14" s="67">
        <f>-IF($C$4="Все",SUMIFS('Заёмные средства'!$P:$P,'Заёмные средства'!$F:$F,Расчёт.ПрибылиПоПодразделениям!$B14),0)</f>
        <v>-57291.66666666665</v>
      </c>
      <c r="N14" s="67">
        <f>IF(IF(Персонал!Y11&gt;(-L14*0.15),(-L14*0.15)+Персонал!Y11*0.5,(-L14*0.15)+Персонал!Y11)&gt;0,-F14*0.01,IF(Персонал!Y11&gt;(-L14*0.15),(-L14*0.15)+Персонал!Y11*0.5,(-L14*0.15)+Персонал!Y11))</f>
        <v>-20100</v>
      </c>
      <c r="P14" s="270"/>
    </row>
    <row r="15" spans="2:27" ht="16.5" thickTop="1" thickBot="1" x14ac:dyDescent="0.3">
      <c r="B15" s="67">
        <f t="shared" si="2"/>
        <v>8</v>
      </c>
      <c r="C15" s="67">
        <f t="shared" si="5"/>
        <v>10</v>
      </c>
      <c r="D15" s="67">
        <f t="shared" si="0"/>
        <v>2018</v>
      </c>
      <c r="E15" s="122">
        <f t="shared" si="1"/>
        <v>43404</v>
      </c>
      <c r="F15" s="67">
        <f>IFERROR(HLOOKUP(IF($C$4="Все","Итого:",$C$4),'План продаж'!$L$5:$P$66,MATCH(Расчёт.ПрибылиПоПодразделениям!$B15,'План продаж'!$B$5:$B$66,0),0),0)</f>
        <v>2680000</v>
      </c>
      <c r="G15" s="67">
        <f t="shared" si="3"/>
        <v>-990966.66666666698</v>
      </c>
      <c r="H15" s="67">
        <f>IFERROR(HLOOKUP(IF($C$4="Все","Итого:",$C$4),'План продаж'!$Q$5:$U$66,MATCH(Расчёт.ПрибылиПоПодразделениям!$B15,'План продаж'!$B$5:$B$66,0),0),0)</f>
        <v>1689033.333333333</v>
      </c>
      <c r="I15" s="67">
        <f>-(HLOOKUP(IF($C$4="Все","Итого:",$C$4),'Расчёт.Постоянные расходы'!$B$5:$I$129,MATCH(Расчёт.ПрибылиПоПодразделениям!$B15,'Расчёт.Постоянные расходы'!$B$5:$B$130,0),0))</f>
        <v>-560000</v>
      </c>
      <c r="J15" s="67">
        <f>-(HLOOKUP(IF($C$4="Все","Итого:",$C$4),Персонал!$Q$4:$V$129,MATCH(Расчёт.ПрибылиПоПодразделениям!$B15,Персонал!$O$4:$O$129,0),0))</f>
        <v>-526500</v>
      </c>
      <c r="K15" s="67">
        <f>-SUMIFS(Инвестиции!$M$13:$M$20,Инвестиции!$B$13:$B$20,Расчёт.ПрибылиПоПодразделениям!$D15)</f>
        <v>-77055.924242424255</v>
      </c>
      <c r="L15" s="67">
        <f t="shared" si="4"/>
        <v>525477.40909090871</v>
      </c>
      <c r="M15" s="67">
        <f>-IF($C$4="Все",SUMIFS('Заёмные средства'!$P:$P,'Заёмные средства'!$F:$F,Расчёт.ПрибылиПоПодразделениям!$B15),0)</f>
        <v>-55381.944444444423</v>
      </c>
      <c r="N15" s="67">
        <f>IF(IF(Персонал!Y12&gt;(-L15*0.15),(-L15*0.15)+Персонал!Y12*0.5,(-L15*0.15)+Персонал!Y12)&gt;0,-F15*0.01,IF(Персонал!Y12&gt;(-L15*0.15),(-L15*0.15)+Персонал!Y12*0.5,(-L15*0.15)+Персонал!Y12))</f>
        <v>-18071.611363636301</v>
      </c>
      <c r="P15" s="270"/>
    </row>
    <row r="16" spans="2:27" ht="16.5" thickTop="1" thickBot="1" x14ac:dyDescent="0.3">
      <c r="B16" s="67">
        <f t="shared" si="2"/>
        <v>9</v>
      </c>
      <c r="C16" s="67">
        <f t="shared" si="5"/>
        <v>11</v>
      </c>
      <c r="D16" s="67">
        <f t="shared" si="0"/>
        <v>2018</v>
      </c>
      <c r="E16" s="122">
        <f t="shared" si="1"/>
        <v>43434</v>
      </c>
      <c r="F16" s="67">
        <f>IFERROR(HLOOKUP(IF($C$4="Все","Итого:",$C$4),'План продаж'!$L$5:$P$66,MATCH(Расчёт.ПрибылиПоПодразделениям!$B16,'План продаж'!$B$5:$B$66,0),0),0)</f>
        <v>2680000</v>
      </c>
      <c r="G16" s="67">
        <f t="shared" si="3"/>
        <v>-990966.66666666698</v>
      </c>
      <c r="H16" s="67">
        <f>IFERROR(HLOOKUP(IF($C$4="Все","Итого:",$C$4),'План продаж'!$Q$5:$U$66,MATCH(Расчёт.ПрибылиПоПодразделениям!$B16,'План продаж'!$B$5:$B$66,0),0),0)</f>
        <v>1689033.333333333</v>
      </c>
      <c r="I16" s="67">
        <f>-(HLOOKUP(IF($C$4="Все","Итого:",$C$4),'Расчёт.Постоянные расходы'!$B$5:$I$129,MATCH(Расчёт.ПрибылиПоПодразделениям!$B16,'Расчёт.Постоянные расходы'!$B$5:$B$130,0),0))</f>
        <v>-560000</v>
      </c>
      <c r="J16" s="67">
        <f>-(HLOOKUP(IF($C$4="Все","Итого:",$C$4),Персонал!$Q$4:$V$129,MATCH(Расчёт.ПрибылиПоПодразделениям!$B16,Персонал!$O$4:$O$129,0),0))</f>
        <v>-604500</v>
      </c>
      <c r="K16" s="67">
        <f>-SUMIFS(Инвестиции!$M$13:$M$20,Инвестиции!$B$13:$B$20,Расчёт.ПрибылиПоПодразделениям!$D16)</f>
        <v>-77055.924242424255</v>
      </c>
      <c r="L16" s="67">
        <f t="shared" si="4"/>
        <v>447477.40909090877</v>
      </c>
      <c r="M16" s="67">
        <f>-IF($C$4="Все",SUMIFS('Заёмные средства'!$P:$P,'Заёмные средства'!$F:$F,Расчёт.ПрибылиПоПодразделениям!$B16),0)</f>
        <v>-53472.222222222197</v>
      </c>
      <c r="N16" s="67">
        <f>IF(IF(Персонал!Y13&gt;(-L16*0.15),(-L16*0.15)+Персонал!Y13*0.5,(-L16*0.15)+Персонал!Y13)&gt;0,-F16*0.01,IF(Персонал!Y13&gt;(-L16*0.15),(-L16*0.15)+Персонал!Y13*0.5,(-L16*0.15)+Персонал!Y13))</f>
        <v>-6371.6113636363152</v>
      </c>
      <c r="P16" s="270"/>
    </row>
    <row r="17" spans="2:16" ht="16.5" thickTop="1" thickBot="1" x14ac:dyDescent="0.3">
      <c r="B17" s="67">
        <f t="shared" si="2"/>
        <v>10</v>
      </c>
      <c r="C17" s="67">
        <f t="shared" si="5"/>
        <v>12</v>
      </c>
      <c r="D17" s="67">
        <f t="shared" si="0"/>
        <v>2018</v>
      </c>
      <c r="E17" s="122">
        <f t="shared" si="1"/>
        <v>43465</v>
      </c>
      <c r="F17" s="67">
        <f>IFERROR(HLOOKUP(IF($C$4="Все","Итого:",$C$4),'План продаж'!$L$5:$P$66,MATCH(Расчёт.ПрибылиПоПодразделениям!$B17,'План продаж'!$B$5:$B$66,0),0),0)</f>
        <v>3046000</v>
      </c>
      <c r="G17" s="67">
        <f t="shared" si="3"/>
        <v>-1113566.666666667</v>
      </c>
      <c r="H17" s="67">
        <f>IFERROR(HLOOKUP(IF($C$4="Все","Итого:",$C$4),'План продаж'!$Q$5:$U$66,MATCH(Расчёт.ПрибылиПоПодразделениям!$B17,'План продаж'!$B$5:$B$66,0),0),0)</f>
        <v>1932433.333333333</v>
      </c>
      <c r="I17" s="67">
        <f>-(HLOOKUP(IF($C$4="Все","Итого:",$C$4),'Расчёт.Постоянные расходы'!$B$5:$I$129,MATCH(Расчёт.ПрибылиПоПодразделениям!$B17,'Расчёт.Постоянные расходы'!$B$5:$B$130,0),0))</f>
        <v>-560000</v>
      </c>
      <c r="J17" s="67">
        <f>-(HLOOKUP(IF($C$4="Все","Итого:",$C$4),Персонал!$Q$4:$V$129,MATCH(Расчёт.ПрибылиПоПодразделениям!$B17,Персонал!$O$4:$O$129,0),0))</f>
        <v>-604500</v>
      </c>
      <c r="K17" s="67">
        <f>-SUMIFS(Инвестиции!$M$13:$M$20,Инвестиции!$B$13:$B$20,Расчёт.ПрибылиПоПодразделениям!$D17)</f>
        <v>-77055.924242424255</v>
      </c>
      <c r="L17" s="67">
        <f t="shared" si="4"/>
        <v>690877.40909090871</v>
      </c>
      <c r="M17" s="67">
        <f>-IF($C$4="Все",SUMIFS('Заёмные средства'!$P:$P,'Заёмные средства'!$F:$F,Расчёт.ПрибылиПоПодразделениям!$B17),0)</f>
        <v>-51562.499999999978</v>
      </c>
      <c r="N17" s="67">
        <f>IF(IF(Персонал!Y14&gt;(-L17*0.15),(-L17*0.15)+Персонал!Y14*0.5,(-L17*0.15)+Персонал!Y14)&gt;0,-F17*0.01,IF(Персонал!Y14&gt;(-L17*0.15),(-L17*0.15)+Персонал!Y14*0.5,(-L17*0.15)+Персонал!Y14))</f>
        <v>-33881.611363636301</v>
      </c>
      <c r="P17" s="270"/>
    </row>
    <row r="18" spans="2:16" ht="15.75" thickTop="1" x14ac:dyDescent="0.25">
      <c r="B18" s="67">
        <f t="shared" si="2"/>
        <v>11</v>
      </c>
      <c r="C18" s="67">
        <f t="shared" si="5"/>
        <v>1</v>
      </c>
      <c r="D18" s="67">
        <f t="shared" si="0"/>
        <v>2019</v>
      </c>
      <c r="E18" s="122">
        <f t="shared" si="1"/>
        <v>43496</v>
      </c>
      <c r="F18" s="67">
        <f>IFERROR(HLOOKUP(IF($C$4="Все","Итого:",$C$4),'План продаж'!$L$5:$P$66,MATCH(Расчёт.ПрибылиПоПодразделениям!$B18,'План продаж'!$B$5:$B$66,0),0),0)</f>
        <v>3046000</v>
      </c>
      <c r="G18" s="67">
        <f t="shared" si="3"/>
        <v>-1113566.666666667</v>
      </c>
      <c r="H18" s="67">
        <f>IFERROR(HLOOKUP(IF($C$4="Все","Итого:",$C$4),'План продаж'!$Q$5:$U$66,MATCH(Расчёт.ПрибылиПоПодразделениям!$B18,'План продаж'!$B$5:$B$66,0),0),0)</f>
        <v>1932433.333333333</v>
      </c>
      <c r="I18" s="67">
        <f>-(HLOOKUP(IF($C$4="Все","Итого:",$C$4),'Расчёт.Постоянные расходы'!$B$5:$I$129,MATCH(Расчёт.ПрибылиПоПодразделениям!$B18,'Расчёт.Постоянные расходы'!$B$5:$B$130,0),0))</f>
        <v>-560000</v>
      </c>
      <c r="J18" s="67">
        <f>-(HLOOKUP(IF($C$4="Все","Итого:",$C$4),Персонал!$Q$4:$V$129,MATCH(Расчёт.ПрибылиПоПодразделениям!$B18,Персонал!$O$4:$O$129,0),0))</f>
        <v>-604500</v>
      </c>
      <c r="K18" s="67">
        <f>-SUMIFS(Инвестиции!$M$13:$M$20,Инвестиции!$B$13:$B$20,Расчёт.ПрибылиПоПодразделениям!$D18)</f>
        <v>-84761.516666666677</v>
      </c>
      <c r="L18" s="67">
        <f t="shared" si="4"/>
        <v>683171.8166666663</v>
      </c>
      <c r="M18" s="67">
        <f>-IF($C$4="Все",SUMIFS('Заёмные средства'!$P:$P,'Заёмные средства'!$F:$F,Расчёт.ПрибылиПоПодразделениям!$B18),0)</f>
        <v>-49652.777777777759</v>
      </c>
      <c r="N18" s="67">
        <f>IF(IF(Персонал!Y15&gt;(-L18*0.15),(-L18*0.15)+Персонал!Y15*0.5,(-L18*0.15)+Персонал!Y15)&gt;0,-F18*0.01,IF(Персонал!Y15&gt;(-L18*0.15),(-L18*0.15)+Персонал!Y15*0.5,(-L18*0.15)+Персонал!Y15))</f>
        <v>-32725.772499999948</v>
      </c>
    </row>
    <row r="19" spans="2:16" x14ac:dyDescent="0.25">
      <c r="B19" s="67">
        <f t="shared" si="2"/>
        <v>12</v>
      </c>
      <c r="C19" s="67">
        <f t="shared" si="5"/>
        <v>2</v>
      </c>
      <c r="D19" s="67">
        <f t="shared" si="0"/>
        <v>2019</v>
      </c>
      <c r="E19" s="122">
        <f t="shared" si="1"/>
        <v>43524</v>
      </c>
      <c r="F19" s="67">
        <f>IFERROR(HLOOKUP(IF($C$4="Все","Итого:",$C$4),'План продаж'!$L$5:$P$66,MATCH(Расчёт.ПрибылиПоПодразделениям!$B19,'План продаж'!$B$5:$B$66,0),0),0)</f>
        <v>3046000</v>
      </c>
      <c r="G19" s="67">
        <f t="shared" si="3"/>
        <v>-1113566.666666667</v>
      </c>
      <c r="H19" s="67">
        <f>IFERROR(HLOOKUP(IF($C$4="Все","Итого:",$C$4),'План продаж'!$Q$5:$U$66,MATCH(Расчёт.ПрибылиПоПодразделениям!$B19,'План продаж'!$B$5:$B$66,0),0),0)</f>
        <v>1932433.333333333</v>
      </c>
      <c r="I19" s="67">
        <f>-(HLOOKUP(IF($C$4="Все","Итого:",$C$4),'Расчёт.Постоянные расходы'!$B$5:$I$129,MATCH(Расчёт.ПрибылиПоПодразделениям!$B19,'Расчёт.Постоянные расходы'!$B$5:$B$130,0),0))</f>
        <v>-560000</v>
      </c>
      <c r="J19" s="67">
        <f>-(HLOOKUP(IF($C$4="Все","Итого:",$C$4),Персонал!$Q$4:$V$129,MATCH(Расчёт.ПрибылиПоПодразделениям!$B19,Персонал!$O$4:$O$129,0),0))</f>
        <v>-604500</v>
      </c>
      <c r="K19" s="67">
        <f>-SUMIFS(Инвестиции!$M$13:$M$20,Инвестиции!$B$13:$B$20,Расчёт.ПрибылиПоПодразделениям!$D19)</f>
        <v>-84761.516666666677</v>
      </c>
      <c r="L19" s="67">
        <f t="shared" si="4"/>
        <v>683171.8166666663</v>
      </c>
      <c r="M19" s="67">
        <f>-IF($C$4="Все",SUMIFS('Заёмные средства'!$P:$P,'Заёмные средства'!$F:$F,Расчёт.ПрибылиПоПодразделениям!$B19),0)</f>
        <v>-47743.05555555554</v>
      </c>
      <c r="N19" s="67">
        <f>IF(IF(Персонал!Y16&gt;(-L19*0.15),(-L19*0.15)+Персонал!Y16*0.5,(-L19*0.15)+Персонал!Y16)&gt;0,-F19*0.01,IF(Персонал!Y16&gt;(-L19*0.15),(-L19*0.15)+Персонал!Y16*0.5,(-L19*0.15)+Персонал!Y16))</f>
        <v>-32725.772499999948</v>
      </c>
    </row>
    <row r="20" spans="2:16" x14ac:dyDescent="0.25">
      <c r="B20" s="67">
        <f t="shared" si="2"/>
        <v>13</v>
      </c>
      <c r="C20" s="67">
        <f t="shared" si="5"/>
        <v>3</v>
      </c>
      <c r="D20" s="67">
        <f t="shared" si="0"/>
        <v>2019</v>
      </c>
      <c r="E20" s="122">
        <f t="shared" si="1"/>
        <v>43555</v>
      </c>
      <c r="F20" s="67">
        <f>IFERROR(HLOOKUP(IF($C$4="Все","Итого:",$C$4),'План продаж'!$L$5:$P$66,MATCH(Расчёт.ПрибылиПоПодразделениям!$B20,'План продаж'!$B$5:$B$66,0),0),0)</f>
        <v>3046000</v>
      </c>
      <c r="G20" s="67">
        <f t="shared" si="3"/>
        <v>-1113566.666666667</v>
      </c>
      <c r="H20" s="67">
        <f>IFERROR(HLOOKUP(IF($C$4="Все","Итого:",$C$4),'План продаж'!$Q$5:$U$66,MATCH(Расчёт.ПрибылиПоПодразделениям!$B20,'План продаж'!$B$5:$B$66,0),0),0)</f>
        <v>1932433.333333333</v>
      </c>
      <c r="I20" s="67">
        <f>-(HLOOKUP(IF($C$4="Все","Итого:",$C$4),'Расчёт.Постоянные расходы'!$B$5:$I$129,MATCH(Расчёт.ПрибылиПоПодразделениям!$B20,'Расчёт.Постоянные расходы'!$B$5:$B$130,0),0))</f>
        <v>-560000</v>
      </c>
      <c r="J20" s="67">
        <f>-(HLOOKUP(IF($C$4="Все","Итого:",$C$4),Персонал!$Q$4:$V$129,MATCH(Расчёт.ПрибылиПоПодразделениям!$B20,Персонал!$O$4:$O$129,0),0))</f>
        <v>-604500</v>
      </c>
      <c r="K20" s="67">
        <f>-SUMIFS(Инвестиции!$M$13:$M$20,Инвестиции!$B$13:$B$20,Расчёт.ПрибылиПоПодразделениям!$D20)</f>
        <v>-84761.516666666677</v>
      </c>
      <c r="L20" s="67">
        <f t="shared" si="4"/>
        <v>683171.8166666663</v>
      </c>
      <c r="M20" s="67">
        <f>-IF($C$4="Все",SUMIFS('Заёмные средства'!$P:$P,'Заёмные средства'!$F:$F,Расчёт.ПрибылиПоПодразделениям!$B20),0)</f>
        <v>-45833.333333333321</v>
      </c>
      <c r="N20" s="67">
        <f>IF(IF(Персонал!Y17&gt;(-L20*0.15),(-L20*0.15)+Персонал!Y17*0.5,(-L20*0.15)+Персонал!Y17)&gt;0,-F20*0.01,IF(Персонал!Y17&gt;(-L20*0.15),(-L20*0.15)+Персонал!Y17*0.5,(-L20*0.15)+Персонал!Y17))</f>
        <v>-32725.772499999948</v>
      </c>
    </row>
    <row r="21" spans="2:16" x14ac:dyDescent="0.25">
      <c r="B21" s="106">
        <f t="shared" si="2"/>
        <v>14</v>
      </c>
      <c r="C21" s="106">
        <f t="shared" si="5"/>
        <v>4</v>
      </c>
      <c r="D21" s="106">
        <f t="shared" si="0"/>
        <v>2019</v>
      </c>
      <c r="E21" s="149">
        <f t="shared" si="1"/>
        <v>43585</v>
      </c>
      <c r="F21" s="67">
        <f>IFERROR(HLOOKUP(IF($C$4="Все","Итого:",$C$4),'План продаж'!$L$5:$P$66,MATCH(Расчёт.ПрибылиПоПодразделениям!$B21,'План продаж'!$B$5:$B$66,0),0),0)</f>
        <v>3046000</v>
      </c>
      <c r="G21" s="67">
        <f t="shared" si="3"/>
        <v>-1113566.666666667</v>
      </c>
      <c r="H21" s="67">
        <f>IFERROR(HLOOKUP(IF($C$4="Все","Итого:",$C$4),'План продаж'!$Q$5:$U$66,MATCH(Расчёт.ПрибылиПоПодразделениям!$B21,'План продаж'!$B$5:$B$66,0),0),0)</f>
        <v>1932433.333333333</v>
      </c>
      <c r="I21" s="67">
        <f>-(HLOOKUP(IF($C$4="Все","Итого:",$C$4),'Расчёт.Постоянные расходы'!$B$5:$I$129,MATCH(Расчёт.ПрибылиПоПодразделениям!$B21,'Расчёт.Постоянные расходы'!$B$5:$B$130,0),0))</f>
        <v>-560000</v>
      </c>
      <c r="J21" s="67">
        <f>-(HLOOKUP(IF($C$4="Все","Итого:",$C$4),Персонал!$Q$4:$V$129,MATCH(Расчёт.ПрибылиПоПодразделениям!$B21,Персонал!$O$4:$O$129,0),0))</f>
        <v>-604500</v>
      </c>
      <c r="K21" s="67">
        <f>-SUMIFS(Инвестиции!$M$13:$M$20,Инвестиции!$B$13:$B$20,Расчёт.ПрибылиПоПодразделениям!$D21)</f>
        <v>-84761.516666666677</v>
      </c>
      <c r="L21" s="67">
        <f t="shared" si="4"/>
        <v>683171.8166666663</v>
      </c>
      <c r="M21" s="67">
        <f>-IF($C$4="Все",SUMIFS('Заёмные средства'!$P:$P,'Заёмные средства'!$F:$F,Расчёт.ПрибылиПоПодразделениям!$B21),0)</f>
        <v>-43923.611111111095</v>
      </c>
      <c r="N21" s="67">
        <f>IF(IF(Персонал!Y18&gt;(-L21*0.15),(-L21*0.15)+Персонал!Y18*0.5,(-L21*0.15)+Персонал!Y18)&gt;0,-F21*0.01,IF(Персонал!Y18&gt;(-L21*0.15),(-L21*0.15)+Персонал!Y18*0.5,(-L21*0.15)+Персонал!Y18))</f>
        <v>-32725.772499999948</v>
      </c>
    </row>
    <row r="22" spans="2:16" x14ac:dyDescent="0.25">
      <c r="B22" s="67">
        <f t="shared" si="2"/>
        <v>15</v>
      </c>
      <c r="C22" s="67">
        <f t="shared" si="5"/>
        <v>5</v>
      </c>
      <c r="D22" s="67">
        <f t="shared" si="0"/>
        <v>2019</v>
      </c>
      <c r="E22" s="122">
        <f t="shared" si="1"/>
        <v>43616</v>
      </c>
      <c r="F22" s="67">
        <f>IFERROR(HLOOKUP(IF($C$4="Все","Итого:",$C$4),'План продаж'!$L$5:$P$66,MATCH(Расчёт.ПрибылиПоПодразделениям!$B22,'План продаж'!$B$5:$B$66,0),0),0)</f>
        <v>2805000</v>
      </c>
      <c r="G22" s="67">
        <f t="shared" si="3"/>
        <v>-1116550.0000000005</v>
      </c>
      <c r="H22" s="67">
        <f>IFERROR(HLOOKUP(IF($C$4="Все","Итого:",$C$4),'План продаж'!$Q$5:$U$66,MATCH(Расчёт.ПрибылиПоПодразделениям!$B22,'План продаж'!$B$5:$B$66,0),0),0)</f>
        <v>1688449.9999999995</v>
      </c>
      <c r="I22" s="67">
        <f>-(HLOOKUP(IF($C$4="Все","Итого:",$C$4),'Расчёт.Постоянные расходы'!$B$5:$I$129,MATCH(Расчёт.ПрибылиПоПодразделениям!$B22,'Расчёт.Постоянные расходы'!$B$5:$B$130,0),0))</f>
        <v>-560000</v>
      </c>
      <c r="J22" s="67">
        <f>-(HLOOKUP(IF($C$4="Все","Итого:",$C$4),Персонал!$Q$4:$V$129,MATCH(Расчёт.ПрибылиПоПодразделениям!$B22,Персонал!$O$4:$O$129,0),0))</f>
        <v>-604500</v>
      </c>
      <c r="K22" s="67">
        <f>-SUMIFS(Инвестиции!$M$13:$M$20,Инвестиции!$B$13:$B$20,Расчёт.ПрибылиПоПодразделениям!$D22)</f>
        <v>-84761.516666666677</v>
      </c>
      <c r="L22" s="67">
        <f t="shared" si="4"/>
        <v>439188.48333333287</v>
      </c>
      <c r="M22" s="67">
        <f>-IF($C$4="Все",SUMIFS('Заёмные средства'!$P:$P,'Заёмные средства'!$F:$F,Расчёт.ПрибылиПоПодразделениям!$B22),0)</f>
        <v>-42013.888888888876</v>
      </c>
      <c r="N22" s="67">
        <f>IF(IF(Персонал!Y19&gt;(-L22*0.15),(-L22*0.15)+Персонал!Y19*0.5,(-L22*0.15)+Персонал!Y19)&gt;0,-F22*0.01,IF(Персонал!Y19&gt;(-L22*0.15),(-L22*0.15)+Персонал!Y19*0.5,(-L22*0.15)+Персонал!Y19))</f>
        <v>-28050</v>
      </c>
    </row>
    <row r="23" spans="2:16" x14ac:dyDescent="0.25">
      <c r="B23" s="67">
        <f t="shared" si="2"/>
        <v>16</v>
      </c>
      <c r="C23" s="67">
        <f t="shared" si="5"/>
        <v>6</v>
      </c>
      <c r="D23" s="67">
        <f t="shared" si="0"/>
        <v>2019</v>
      </c>
      <c r="E23" s="122">
        <f t="shared" si="1"/>
        <v>43646</v>
      </c>
      <c r="F23" s="67">
        <f>IFERROR(HLOOKUP(IF($C$4="Все","Итого:",$C$4),'План продаж'!$L$5:$P$66,MATCH(Расчёт.ПрибылиПоПодразделениям!$B23,'План продаж'!$B$5:$B$66,0),0),0)</f>
        <v>2805000</v>
      </c>
      <c r="G23" s="67">
        <f t="shared" si="3"/>
        <v>-1116550.0000000005</v>
      </c>
      <c r="H23" s="67">
        <f>IFERROR(HLOOKUP(IF($C$4="Все","Итого:",$C$4),'План продаж'!$Q$5:$U$66,MATCH(Расчёт.ПрибылиПоПодразделениям!$B23,'План продаж'!$B$5:$B$66,0),0),0)</f>
        <v>1688449.9999999995</v>
      </c>
      <c r="I23" s="67">
        <f>-(HLOOKUP(IF($C$4="Все","Итого:",$C$4),'Расчёт.Постоянные расходы'!$B$5:$I$129,MATCH(Расчёт.ПрибылиПоПодразделениям!$B23,'Расчёт.Постоянные расходы'!$B$5:$B$130,0),0))</f>
        <v>-560000</v>
      </c>
      <c r="J23" s="67">
        <f>-(HLOOKUP(IF($C$4="Все","Итого:",$C$4),Персонал!$Q$4:$V$129,MATCH(Расчёт.ПрибылиПоПодразделениям!$B23,Персонал!$O$4:$O$129,0),0))</f>
        <v>-604500</v>
      </c>
      <c r="K23" s="67">
        <f>-SUMIFS(Инвестиции!$M$13:$M$20,Инвестиции!$B$13:$B$20,Расчёт.ПрибылиПоПодразделениям!$D23)</f>
        <v>-84761.516666666677</v>
      </c>
      <c r="L23" s="67">
        <f t="shared" si="4"/>
        <v>439188.48333333287</v>
      </c>
      <c r="M23" s="67">
        <f>-IF($C$4="Все",SUMIFS('Заёмные средства'!$P:$P,'Заёмные средства'!$F:$F,Расчёт.ПрибылиПоПодразделениям!$B23),0)</f>
        <v>-40104.166666666657</v>
      </c>
      <c r="N23" s="67">
        <f>IF(IF(Персонал!Y20&gt;(-L23*0.15),(-L23*0.15)+Персонал!Y20*0.5,(-L23*0.15)+Персонал!Y20)&gt;0,-F23*0.01,IF(Персонал!Y20&gt;(-L23*0.15),(-L23*0.15)+Персонал!Y20*0.5,(-L23*0.15)+Персонал!Y20))</f>
        <v>-28050</v>
      </c>
    </row>
    <row r="24" spans="2:16" x14ac:dyDescent="0.25">
      <c r="B24" s="67">
        <f t="shared" ref="B24:B67" si="6">B23+1</f>
        <v>17</v>
      </c>
      <c r="C24" s="67">
        <f t="shared" si="5"/>
        <v>7</v>
      </c>
      <c r="D24" s="67">
        <f t="shared" si="0"/>
        <v>2019</v>
      </c>
      <c r="E24" s="122">
        <f t="shared" si="1"/>
        <v>43677</v>
      </c>
      <c r="F24" s="67">
        <f>IFERROR(HLOOKUP(IF($C$4="Все","Итого:",$C$4),'План продаж'!$L$5:$P$66,MATCH(Расчёт.ПрибылиПоПодразделениям!$B24,'План продаж'!$B$5:$B$66,0),0),0)</f>
        <v>2805000</v>
      </c>
      <c r="G24" s="67">
        <f t="shared" si="3"/>
        <v>-1116550.0000000005</v>
      </c>
      <c r="H24" s="67">
        <f>IFERROR(HLOOKUP(IF($C$4="Все","Итого:",$C$4),'План продаж'!$Q$5:$U$66,MATCH(Расчёт.ПрибылиПоПодразделениям!$B24,'План продаж'!$B$5:$B$66,0),0),0)</f>
        <v>1688449.9999999995</v>
      </c>
      <c r="I24" s="67">
        <f>-(HLOOKUP(IF($C$4="Все","Итого:",$C$4),'Расчёт.Постоянные расходы'!$B$5:$I$129,MATCH(Расчёт.ПрибылиПоПодразделениям!$B24,'Расчёт.Постоянные расходы'!$B$5:$B$130,0),0))</f>
        <v>-560000</v>
      </c>
      <c r="J24" s="67">
        <f>-(HLOOKUP(IF($C$4="Все","Итого:",$C$4),Персонал!$Q$4:$V$129,MATCH(Расчёт.ПрибылиПоПодразделениям!$B24,Персонал!$O$4:$O$129,0),0))</f>
        <v>-604500</v>
      </c>
      <c r="K24" s="67">
        <f>-SUMIFS(Инвестиции!$M$13:$M$20,Инвестиции!$B$13:$B$20,Расчёт.ПрибылиПоПодразделениям!$D24)</f>
        <v>-84761.516666666677</v>
      </c>
      <c r="L24" s="67">
        <f t="shared" si="4"/>
        <v>439188.48333333287</v>
      </c>
      <c r="M24" s="67">
        <f>-IF($C$4="Все",SUMIFS('Заёмные средства'!$P:$P,'Заёмные средства'!$F:$F,Расчёт.ПрибылиПоПодразделениям!$B24),0)</f>
        <v>-38194.444444444438</v>
      </c>
      <c r="N24" s="67">
        <f>IF(IF(Персонал!Y21&gt;(-L24*0.15),(-L24*0.15)+Персонал!Y21*0.5,(-L24*0.15)+Персонал!Y21)&gt;0,-F24*0.01,IF(Персонал!Y21&gt;(-L24*0.15),(-L24*0.15)+Персонал!Y21*0.5,(-L24*0.15)+Персонал!Y21))</f>
        <v>-28050</v>
      </c>
    </row>
    <row r="25" spans="2:16" x14ac:dyDescent="0.25">
      <c r="B25" s="67">
        <f t="shared" si="6"/>
        <v>18</v>
      </c>
      <c r="C25" s="67">
        <f t="shared" si="5"/>
        <v>8</v>
      </c>
      <c r="D25" s="67">
        <f t="shared" si="0"/>
        <v>2019</v>
      </c>
      <c r="E25" s="122">
        <f t="shared" si="1"/>
        <v>43708</v>
      </c>
      <c r="F25" s="67">
        <f>IFERROR(HLOOKUP(IF($C$4="Все","Итого:",$C$4),'План продаж'!$L$5:$P$66,MATCH(Расчёт.ПрибылиПоПодразделениям!$B25,'План продаж'!$B$5:$B$66,0),0),0)</f>
        <v>2805000</v>
      </c>
      <c r="G25" s="67">
        <f t="shared" si="3"/>
        <v>-1116550.0000000005</v>
      </c>
      <c r="H25" s="67">
        <f>IFERROR(HLOOKUP(IF($C$4="Все","Итого:",$C$4),'План продаж'!$Q$5:$U$66,MATCH(Расчёт.ПрибылиПоПодразделениям!$B25,'План продаж'!$B$5:$B$66,0),0),0)</f>
        <v>1688449.9999999995</v>
      </c>
      <c r="I25" s="67">
        <f>-(HLOOKUP(IF($C$4="Все","Итого:",$C$4),'Расчёт.Постоянные расходы'!$B$5:$I$129,MATCH(Расчёт.ПрибылиПоПодразделениям!$B25,'Расчёт.Постоянные расходы'!$B$5:$B$130,0),0))</f>
        <v>-560000</v>
      </c>
      <c r="J25" s="67">
        <f>-(HLOOKUP(IF($C$4="Все","Итого:",$C$4),Персонал!$Q$4:$V$129,MATCH(Расчёт.ПрибылиПоПодразделениям!$B25,Персонал!$O$4:$O$129,0),0))</f>
        <v>-604500</v>
      </c>
      <c r="K25" s="67">
        <f>-SUMIFS(Инвестиции!$M$13:$M$20,Инвестиции!$B$13:$B$20,Расчёт.ПрибылиПоПодразделениям!$D25)</f>
        <v>-84761.516666666677</v>
      </c>
      <c r="L25" s="67">
        <f t="shared" si="4"/>
        <v>439188.48333333287</v>
      </c>
      <c r="M25" s="67">
        <f>-IF($C$4="Все",SUMIFS('Заёмные средства'!$P:$P,'Заёмные средства'!$F:$F,Расчёт.ПрибылиПоПодразделениям!$B25),0)</f>
        <v>-36284.722222222212</v>
      </c>
      <c r="N25" s="67">
        <f>IF(IF(Персонал!Y22&gt;(-L25*0.15),(-L25*0.15)+Персонал!Y22*0.5,(-L25*0.15)+Персонал!Y22)&gt;0,-F25*0.01,IF(Персонал!Y22&gt;(-L25*0.15),(-L25*0.15)+Персонал!Y22*0.5,(-L25*0.15)+Персонал!Y22))</f>
        <v>-28050</v>
      </c>
    </row>
    <row r="26" spans="2:16" x14ac:dyDescent="0.25">
      <c r="B26" s="67">
        <f t="shared" si="6"/>
        <v>19</v>
      </c>
      <c r="C26" s="67">
        <f t="shared" si="5"/>
        <v>9</v>
      </c>
      <c r="D26" s="67">
        <f t="shared" si="0"/>
        <v>2019</v>
      </c>
      <c r="E26" s="122">
        <f t="shared" si="1"/>
        <v>43738</v>
      </c>
      <c r="F26" s="67">
        <f>IFERROR(HLOOKUP(IF($C$4="Все","Итого:",$C$4),'План продаж'!$L$5:$P$66,MATCH(Расчёт.ПрибылиПоПодразделениям!$B26,'План продаж'!$B$5:$B$66,0),0),0)</f>
        <v>2805000</v>
      </c>
      <c r="G26" s="67">
        <f t="shared" si="3"/>
        <v>-1116550.0000000005</v>
      </c>
      <c r="H26" s="67">
        <f>IFERROR(HLOOKUP(IF($C$4="Все","Итого:",$C$4),'План продаж'!$Q$5:$U$66,MATCH(Расчёт.ПрибылиПоПодразделениям!$B26,'План продаж'!$B$5:$B$66,0),0),0)</f>
        <v>1688449.9999999995</v>
      </c>
      <c r="I26" s="67">
        <f>-(HLOOKUP(IF($C$4="Все","Итого:",$C$4),'Расчёт.Постоянные расходы'!$B$5:$I$129,MATCH(Расчёт.ПрибылиПоПодразделениям!$B26,'Расчёт.Постоянные расходы'!$B$5:$B$130,0),0))</f>
        <v>-560000</v>
      </c>
      <c r="J26" s="67">
        <f>-(HLOOKUP(IF($C$4="Все","Итого:",$C$4),Персонал!$Q$4:$V$129,MATCH(Расчёт.ПрибылиПоПодразделениям!$B26,Персонал!$O$4:$O$129,0),0))</f>
        <v>-604500</v>
      </c>
      <c r="K26" s="67">
        <f>-SUMIFS(Инвестиции!$M$13:$M$20,Инвестиции!$B$13:$B$20,Расчёт.ПрибылиПоПодразделениям!$D26)</f>
        <v>-84761.516666666677</v>
      </c>
      <c r="L26" s="67">
        <f t="shared" si="4"/>
        <v>439188.48333333287</v>
      </c>
      <c r="M26" s="67">
        <f>-IF($C$4="Все",SUMIFS('Заёмные средства'!$P:$P,'Заёмные средства'!$F:$F,Расчёт.ПрибылиПоПодразделениям!$B26),0)</f>
        <v>-34374.999999999985</v>
      </c>
      <c r="N26" s="67">
        <f>IF(IF(Персонал!Y23&gt;(-L26*0.15),(-L26*0.15)+Персонал!Y23*0.5,(-L26*0.15)+Персонал!Y23)&gt;0,-F26*0.01,IF(Персонал!Y23&gt;(-L26*0.15),(-L26*0.15)+Персонал!Y23*0.5,(-L26*0.15)+Персонал!Y23))</f>
        <v>-28050</v>
      </c>
    </row>
    <row r="27" spans="2:16" x14ac:dyDescent="0.25">
      <c r="B27" s="67">
        <f t="shared" si="6"/>
        <v>20</v>
      </c>
      <c r="C27" s="67">
        <f t="shared" si="5"/>
        <v>10</v>
      </c>
      <c r="D27" s="67">
        <f t="shared" si="0"/>
        <v>2019</v>
      </c>
      <c r="E27" s="122">
        <f t="shared" si="1"/>
        <v>43769</v>
      </c>
      <c r="F27" s="67">
        <f>IFERROR(HLOOKUP(IF($C$4="Все","Итого:",$C$4),'План продаж'!$L$5:$P$66,MATCH(Расчёт.ПрибылиПоПодразделениям!$B27,'План продаж'!$B$5:$B$66,0),0),0)</f>
        <v>3740000</v>
      </c>
      <c r="G27" s="67">
        <f t="shared" si="3"/>
        <v>-1488733.333333334</v>
      </c>
      <c r="H27" s="67">
        <f>IFERROR(HLOOKUP(IF($C$4="Все","Итого:",$C$4),'План продаж'!$Q$5:$U$66,MATCH(Расчёт.ПрибылиПоПодразделениям!$B27,'План продаж'!$B$5:$B$66,0),0),0)</f>
        <v>2251266.666666666</v>
      </c>
      <c r="I27" s="67">
        <f>-(HLOOKUP(IF($C$4="Все","Итого:",$C$4),'Расчёт.Постоянные расходы'!$B$5:$I$129,MATCH(Расчёт.ПрибылиПоПодразделениям!$B27,'Расчёт.Постоянные расходы'!$B$5:$B$130,0),0))</f>
        <v>-560000</v>
      </c>
      <c r="J27" s="67">
        <f>-(HLOOKUP(IF($C$4="Все","Итого:",$C$4),Персонал!$Q$4:$V$129,MATCH(Расчёт.ПрибылиПоПодразделениям!$B27,Персонал!$O$4:$O$129,0),0))</f>
        <v>-604500</v>
      </c>
      <c r="K27" s="67">
        <f>-SUMIFS(Инвестиции!$M$13:$M$20,Инвестиции!$B$13:$B$20,Расчёт.ПрибылиПоПодразделениям!$D27)</f>
        <v>-84761.516666666677</v>
      </c>
      <c r="L27" s="67">
        <f t="shared" si="4"/>
        <v>1002005.1499999993</v>
      </c>
      <c r="M27" s="67">
        <f>-IF($C$4="Все",SUMIFS('Заёмные средства'!$P:$P,'Заёмные средства'!$F:$F,Расчёт.ПрибылиПоПодразделениям!$B27),0)</f>
        <v>-32465.277777777766</v>
      </c>
      <c r="N27" s="67">
        <f>IF(IF(Персонал!Y24&gt;(-L27*0.15),(-L27*0.15)+Персонал!Y24*0.5,(-L27*0.15)+Персонал!Y24)&gt;0,-F27*0.01,IF(Персонал!Y24&gt;(-L27*0.15),(-L27*0.15)+Персонал!Y24*0.5,(-L27*0.15)+Персонал!Y24))</f>
        <v>-80550.772499999905</v>
      </c>
    </row>
    <row r="28" spans="2:16" x14ac:dyDescent="0.25">
      <c r="B28" s="67">
        <f t="shared" si="6"/>
        <v>21</v>
      </c>
      <c r="C28" s="67">
        <f t="shared" si="5"/>
        <v>11</v>
      </c>
      <c r="D28" s="67">
        <f t="shared" si="0"/>
        <v>2019</v>
      </c>
      <c r="E28" s="122">
        <f t="shared" si="1"/>
        <v>43799</v>
      </c>
      <c r="F28" s="67">
        <f>IFERROR(HLOOKUP(IF($C$4="Все","Итого:",$C$4),'План продаж'!$L$5:$P$66,MATCH(Расчёт.ПрибылиПоПодразделениям!$B28,'План продаж'!$B$5:$B$66,0),0),0)</f>
        <v>3740000</v>
      </c>
      <c r="G28" s="67">
        <f t="shared" si="3"/>
        <v>-1488733.333333334</v>
      </c>
      <c r="H28" s="67">
        <f>IFERROR(HLOOKUP(IF($C$4="Все","Итого:",$C$4),'План продаж'!$Q$5:$U$66,MATCH(Расчёт.ПрибылиПоПодразделениям!$B28,'План продаж'!$B$5:$B$66,0),0),0)</f>
        <v>2251266.666666666</v>
      </c>
      <c r="I28" s="67">
        <f>-(HLOOKUP(IF($C$4="Все","Итого:",$C$4),'Расчёт.Постоянные расходы'!$B$5:$I$129,MATCH(Расчёт.ПрибылиПоПодразделениям!$B28,'Расчёт.Постоянные расходы'!$B$5:$B$130,0),0))</f>
        <v>-560000</v>
      </c>
      <c r="J28" s="67">
        <f>-(HLOOKUP(IF($C$4="Все","Итого:",$C$4),Персонал!$Q$4:$V$129,MATCH(Расчёт.ПрибылиПоПодразделениям!$B28,Персонал!$O$4:$O$129,0),0))</f>
        <v>-604500</v>
      </c>
      <c r="K28" s="67">
        <f>-SUMIFS(Инвестиции!$M$13:$M$20,Инвестиции!$B$13:$B$20,Расчёт.ПрибылиПоПодразделениям!$D28)</f>
        <v>-84761.516666666677</v>
      </c>
      <c r="L28" s="67">
        <f t="shared" si="4"/>
        <v>1002005.1499999993</v>
      </c>
      <c r="M28" s="67">
        <f>-IF($C$4="Все",SUMIFS('Заёмные средства'!$P:$P,'Заёмные средства'!$F:$F,Расчёт.ПрибылиПоПодразделениям!$B28),0)</f>
        <v>-30555.555555555547</v>
      </c>
      <c r="N28" s="67">
        <f>IF(IF(Персонал!Y25&gt;(-L28*0.15),(-L28*0.15)+Персонал!Y25*0.5,(-L28*0.15)+Персонал!Y25)&gt;0,-F28*0.01,IF(Персонал!Y25&gt;(-L28*0.15),(-L28*0.15)+Персонал!Y25*0.5,(-L28*0.15)+Персонал!Y25))</f>
        <v>-80550.772499999905</v>
      </c>
    </row>
    <row r="29" spans="2:16" x14ac:dyDescent="0.25">
      <c r="B29" s="67">
        <f t="shared" si="6"/>
        <v>22</v>
      </c>
      <c r="C29" s="67">
        <f t="shared" si="5"/>
        <v>12</v>
      </c>
      <c r="D29" s="67">
        <f t="shared" si="0"/>
        <v>2019</v>
      </c>
      <c r="E29" s="122">
        <f t="shared" si="1"/>
        <v>43830</v>
      </c>
      <c r="F29" s="67">
        <f>IFERROR(HLOOKUP(IF($C$4="Все","Итого:",$C$4),'План продаж'!$L$5:$P$66,MATCH(Расчёт.ПрибылиПоПодразделениям!$B29,'План продаж'!$B$5:$B$66,0),0),0)</f>
        <v>3740000</v>
      </c>
      <c r="G29" s="67">
        <f t="shared" si="3"/>
        <v>-1488733.333333334</v>
      </c>
      <c r="H29" s="67">
        <f>IFERROR(HLOOKUP(IF($C$4="Все","Итого:",$C$4),'План продаж'!$Q$5:$U$66,MATCH(Расчёт.ПрибылиПоПодразделениям!$B29,'План продаж'!$B$5:$B$66,0),0),0)</f>
        <v>2251266.666666666</v>
      </c>
      <c r="I29" s="67">
        <f>-(HLOOKUP(IF($C$4="Все","Итого:",$C$4),'Расчёт.Постоянные расходы'!$B$5:$I$129,MATCH(Расчёт.ПрибылиПоПодразделениям!$B29,'Расчёт.Постоянные расходы'!$B$5:$B$130,0),0))</f>
        <v>-560000</v>
      </c>
      <c r="J29" s="67">
        <f>-(HLOOKUP(IF($C$4="Все","Итого:",$C$4),Персонал!$Q$4:$V$129,MATCH(Расчёт.ПрибылиПоПодразделениям!$B29,Персонал!$O$4:$O$129,0),0))</f>
        <v>-604500</v>
      </c>
      <c r="K29" s="67">
        <f>-SUMIFS(Инвестиции!$M$13:$M$20,Инвестиции!$B$13:$B$20,Расчёт.ПрибылиПоПодразделениям!$D29)</f>
        <v>-84761.516666666677</v>
      </c>
      <c r="L29" s="67">
        <f t="shared" si="4"/>
        <v>1002005.1499999993</v>
      </c>
      <c r="M29" s="67">
        <f>-IF($C$4="Все",SUMIFS('Заёмные средства'!$P:$P,'Заёмные средства'!$F:$F,Расчёт.ПрибылиПоПодразделениям!$B29),0)</f>
        <v>-28645.833333333325</v>
      </c>
      <c r="N29" s="67">
        <f>IF(IF(Персонал!Y26&gt;(-L29*0.15),(-L29*0.15)+Персонал!Y26*0.5,(-L29*0.15)+Персонал!Y26)&gt;0,-F29*0.01,IF(Персонал!Y26&gt;(-L29*0.15),(-L29*0.15)+Персонал!Y26*0.5,(-L29*0.15)+Персонал!Y26))</f>
        <v>-80550.772499999905</v>
      </c>
    </row>
    <row r="30" spans="2:16" x14ac:dyDescent="0.25">
      <c r="B30" s="67">
        <f t="shared" si="6"/>
        <v>23</v>
      </c>
      <c r="C30" s="67">
        <f t="shared" si="5"/>
        <v>1</v>
      </c>
      <c r="D30" s="67">
        <f t="shared" si="0"/>
        <v>2020</v>
      </c>
      <c r="E30" s="122">
        <f t="shared" si="1"/>
        <v>43861</v>
      </c>
      <c r="F30" s="67">
        <f>IFERROR(HLOOKUP(IF($C$4="Все","Итого:",$C$4),'План продаж'!$L$5:$P$66,MATCH(Расчёт.ПрибылиПоПодразделениям!$B30,'План продаж'!$B$5:$B$66,0),0),0)</f>
        <v>3740000</v>
      </c>
      <c r="G30" s="67">
        <f t="shared" si="3"/>
        <v>-1488733.333333334</v>
      </c>
      <c r="H30" s="67">
        <f>IFERROR(HLOOKUP(IF($C$4="Все","Итого:",$C$4),'План продаж'!$Q$5:$U$66,MATCH(Расчёт.ПрибылиПоПодразделениям!$B30,'План продаж'!$B$5:$B$66,0),0),0)</f>
        <v>2251266.666666666</v>
      </c>
      <c r="I30" s="67">
        <f>-(HLOOKUP(IF($C$4="Все","Итого:",$C$4),'Расчёт.Постоянные расходы'!$B$5:$I$129,MATCH(Расчёт.ПрибылиПоПодразделениям!$B30,'Расчёт.Постоянные расходы'!$B$5:$B$130,0),0))</f>
        <v>-560000</v>
      </c>
      <c r="J30" s="67">
        <f>-(HLOOKUP(IF($C$4="Все","Итого:",$C$4),Персонал!$Q$4:$V$129,MATCH(Расчёт.ПрибылиПоПодразделениям!$B30,Персонал!$O$4:$O$129,0),0))</f>
        <v>-604500</v>
      </c>
      <c r="K30" s="67">
        <f>-SUMIFS(Инвестиции!$M$13:$M$20,Инвестиции!$B$13:$B$20,Расчёт.ПрибылиПоПодразделениям!$D30)</f>
        <v>-84761.516666666677</v>
      </c>
      <c r="L30" s="67">
        <f t="shared" si="4"/>
        <v>1002005.1499999993</v>
      </c>
      <c r="M30" s="67">
        <f>-IF($C$4="Все",SUMIFS('Заёмные средства'!$P:$P,'Заёмные средства'!$F:$F,Расчёт.ПрибылиПоПодразделениям!$B30),0)</f>
        <v>-26736.111111111106</v>
      </c>
      <c r="N30" s="67">
        <f>IF(IF(Персонал!Y27&gt;(-L30*0.15),(-L30*0.15)+Персонал!Y27*0.5,(-L30*0.15)+Персонал!Y27)&gt;0,-F30*0.01,IF(Персонал!Y27&gt;(-L30*0.15),(-L30*0.15)+Персонал!Y27*0.5,(-L30*0.15)+Персонал!Y27))</f>
        <v>-80550.772499999905</v>
      </c>
    </row>
    <row r="31" spans="2:16" x14ac:dyDescent="0.25">
      <c r="B31" s="67">
        <f t="shared" si="6"/>
        <v>24</v>
      </c>
      <c r="C31" s="67">
        <f t="shared" si="5"/>
        <v>2</v>
      </c>
      <c r="D31" s="67">
        <f t="shared" si="0"/>
        <v>2020</v>
      </c>
      <c r="E31" s="122">
        <f t="shared" si="1"/>
        <v>43890</v>
      </c>
      <c r="F31" s="67">
        <f>IFERROR(HLOOKUP(IF($C$4="Все","Итого:",$C$4),'План продаж'!$L$5:$P$66,MATCH(Расчёт.ПрибылиПоПодразделениям!$B31,'План продаж'!$B$5:$B$66,0),0),0)</f>
        <v>3740000</v>
      </c>
      <c r="G31" s="67">
        <f t="shared" si="3"/>
        <v>-1488733.333333334</v>
      </c>
      <c r="H31" s="67">
        <f>IFERROR(HLOOKUP(IF($C$4="Все","Итого:",$C$4),'План продаж'!$Q$5:$U$66,MATCH(Расчёт.ПрибылиПоПодразделениям!$B31,'План продаж'!$B$5:$B$66,0),0),0)</f>
        <v>2251266.666666666</v>
      </c>
      <c r="I31" s="67">
        <f>-(HLOOKUP(IF($C$4="Все","Итого:",$C$4),'Расчёт.Постоянные расходы'!$B$5:$I$129,MATCH(Расчёт.ПрибылиПоПодразделениям!$B31,'Расчёт.Постоянные расходы'!$B$5:$B$130,0),0))</f>
        <v>-560000</v>
      </c>
      <c r="J31" s="67">
        <f>-(HLOOKUP(IF($C$4="Все","Итого:",$C$4),Персонал!$Q$4:$V$129,MATCH(Расчёт.ПрибылиПоПодразделениям!$B31,Персонал!$O$4:$O$129,0),0))</f>
        <v>-604500</v>
      </c>
      <c r="K31" s="67">
        <f>-SUMIFS(Инвестиции!$M$13:$M$20,Инвестиции!$B$13:$B$20,Расчёт.ПрибылиПоПодразделениям!$D31)</f>
        <v>-84761.516666666677</v>
      </c>
      <c r="L31" s="67">
        <f t="shared" si="4"/>
        <v>1002005.1499999993</v>
      </c>
      <c r="M31" s="67">
        <f>-IF($C$4="Все",SUMIFS('Заёмные средства'!$P:$P,'Заёмные средства'!$F:$F,Расчёт.ПрибылиПоПодразделениям!$B31),0)</f>
        <v>-24826.388888888883</v>
      </c>
      <c r="N31" s="67">
        <f>IF(IF(Персонал!Y28&gt;(-L31*0.15),(-L31*0.15)+Персонал!Y28*0.5,(-L31*0.15)+Персонал!Y28)&gt;0,-F31*0.01,IF(Персонал!Y28&gt;(-L31*0.15),(-L31*0.15)+Персонал!Y28*0.5,(-L31*0.15)+Персонал!Y28))</f>
        <v>-80550.772499999905</v>
      </c>
    </row>
    <row r="32" spans="2:16" x14ac:dyDescent="0.25">
      <c r="B32" s="67">
        <f t="shared" si="6"/>
        <v>25</v>
      </c>
      <c r="C32" s="67">
        <f t="shared" si="5"/>
        <v>3</v>
      </c>
      <c r="D32" s="67">
        <f t="shared" si="0"/>
        <v>2020</v>
      </c>
      <c r="E32" s="122">
        <f t="shared" si="1"/>
        <v>43921</v>
      </c>
      <c r="F32" s="67">
        <f>IFERROR(HLOOKUP(IF($C$4="Все","Итого:",$C$4),'План продаж'!$L$5:$P$66,MATCH(Расчёт.ПрибылиПоПодразделениям!$B32,'План продаж'!$B$5:$B$66,0),0),0)</f>
        <v>3740000</v>
      </c>
      <c r="G32" s="67">
        <f t="shared" si="3"/>
        <v>-1488733.333333334</v>
      </c>
      <c r="H32" s="67">
        <f>IFERROR(HLOOKUP(IF($C$4="Все","Итого:",$C$4),'План продаж'!$Q$5:$U$66,MATCH(Расчёт.ПрибылиПоПодразделениям!$B32,'План продаж'!$B$5:$B$66,0),0),0)</f>
        <v>2251266.666666666</v>
      </c>
      <c r="I32" s="67">
        <f>-(HLOOKUP(IF($C$4="Все","Итого:",$C$4),'Расчёт.Постоянные расходы'!$B$5:$I$129,MATCH(Расчёт.ПрибылиПоПодразделениям!$B32,'Расчёт.Постоянные расходы'!$B$5:$B$130,0),0))</f>
        <v>-560000</v>
      </c>
      <c r="J32" s="67">
        <f>-(HLOOKUP(IF($C$4="Все","Итого:",$C$4),Персонал!$Q$4:$V$129,MATCH(Расчёт.ПрибылиПоПодразделениям!$B32,Персонал!$O$4:$O$129,0),0))</f>
        <v>-604500</v>
      </c>
      <c r="K32" s="67">
        <f>-SUMIFS(Инвестиции!$M$13:$M$20,Инвестиции!$B$13:$B$20,Расчёт.ПрибылиПоПодразделениям!$D32)</f>
        <v>-84761.516666666677</v>
      </c>
      <c r="L32" s="67">
        <f t="shared" si="4"/>
        <v>1002005.1499999993</v>
      </c>
      <c r="M32" s="67">
        <f>-IF($C$4="Все",SUMIFS('Заёмные средства'!$P:$P,'Заёмные средства'!$F:$F,Расчёт.ПрибылиПоПодразделениям!$B32),0)</f>
        <v>-22916.666666666661</v>
      </c>
      <c r="N32" s="67">
        <f>IF(IF(Персонал!Y29&gt;(-L32*0.15),(-L32*0.15)+Персонал!Y29*0.5,(-L32*0.15)+Персонал!Y29)&gt;0,-F32*0.01,IF(Персонал!Y29&gt;(-L32*0.15),(-L32*0.15)+Персонал!Y29*0.5,(-L32*0.15)+Персонал!Y29))</f>
        <v>-80550.772499999905</v>
      </c>
    </row>
    <row r="33" spans="2:14" x14ac:dyDescent="0.25">
      <c r="B33" s="67">
        <f t="shared" si="6"/>
        <v>26</v>
      </c>
      <c r="C33" s="67">
        <f t="shared" si="5"/>
        <v>4</v>
      </c>
      <c r="D33" s="67">
        <f t="shared" si="0"/>
        <v>2020</v>
      </c>
      <c r="E33" s="122">
        <f t="shared" si="1"/>
        <v>43951</v>
      </c>
      <c r="F33" s="67">
        <f>IFERROR(HLOOKUP(IF($C$4="Все","Итого:",$C$4),'План продаж'!$L$5:$P$66,MATCH(Расчёт.ПрибылиПоПодразделениям!$B33,'План продаж'!$B$5:$B$66,0),0),0)</f>
        <v>3740000</v>
      </c>
      <c r="G33" s="67">
        <f t="shared" si="3"/>
        <v>-1488733.333333334</v>
      </c>
      <c r="H33" s="67">
        <f>IFERROR(HLOOKUP(IF($C$4="Все","Итого:",$C$4),'План продаж'!$Q$5:$U$66,MATCH(Расчёт.ПрибылиПоПодразделениям!$B33,'План продаж'!$B$5:$B$66,0),0),0)</f>
        <v>2251266.666666666</v>
      </c>
      <c r="I33" s="67">
        <f>-(HLOOKUP(IF($C$4="Все","Итого:",$C$4),'Расчёт.Постоянные расходы'!$B$5:$I$129,MATCH(Расчёт.ПрибылиПоПодразделениям!$B33,'Расчёт.Постоянные расходы'!$B$5:$B$130,0),0))</f>
        <v>-560000</v>
      </c>
      <c r="J33" s="67">
        <f>-(HLOOKUP(IF($C$4="Все","Итого:",$C$4),Персонал!$Q$4:$V$129,MATCH(Расчёт.ПрибылиПоПодразделениям!$B33,Персонал!$O$4:$O$129,0),0))</f>
        <v>-604500</v>
      </c>
      <c r="K33" s="67">
        <f>-SUMIFS(Инвестиции!$M$13:$M$20,Инвестиции!$B$13:$B$20,Расчёт.ПрибылиПоПодразделениям!$D33)</f>
        <v>-84761.516666666677</v>
      </c>
      <c r="L33" s="67">
        <f t="shared" si="4"/>
        <v>1002005.1499999993</v>
      </c>
      <c r="M33" s="67">
        <f>-IF($C$4="Все",SUMIFS('Заёмные средства'!$P:$P,'Заёмные средства'!$F:$F,Расчёт.ПрибылиПоПодразделениям!$B33),0)</f>
        <v>-21006.944444444438</v>
      </c>
      <c r="N33" s="67">
        <f>IF(IF(Персонал!Y30&gt;(-L33*0.15),(-L33*0.15)+Персонал!Y30*0.5,(-L33*0.15)+Персонал!Y30)&gt;0,-F33*0.01,IF(Персонал!Y30&gt;(-L33*0.15),(-L33*0.15)+Персонал!Y30*0.5,(-L33*0.15)+Персонал!Y30))</f>
        <v>-80550.772499999905</v>
      </c>
    </row>
    <row r="34" spans="2:14" x14ac:dyDescent="0.25">
      <c r="B34" s="67">
        <f t="shared" si="6"/>
        <v>27</v>
      </c>
      <c r="C34" s="67">
        <f t="shared" si="5"/>
        <v>5</v>
      </c>
      <c r="D34" s="67">
        <f t="shared" si="0"/>
        <v>2020</v>
      </c>
      <c r="E34" s="122">
        <f t="shared" si="1"/>
        <v>43982</v>
      </c>
      <c r="F34" s="67">
        <f>IFERROR(HLOOKUP(IF($C$4="Все","Итого:",$C$4),'План продаж'!$L$5:$P$66,MATCH(Расчёт.ПрибылиПоПодразделениям!$B34,'План продаж'!$B$5:$B$66,0),0),0)</f>
        <v>2805000</v>
      </c>
      <c r="G34" s="67">
        <f t="shared" si="3"/>
        <v>-1116550.0000000005</v>
      </c>
      <c r="H34" s="67">
        <f>IFERROR(HLOOKUP(IF($C$4="Все","Итого:",$C$4),'План продаж'!$Q$5:$U$66,MATCH(Расчёт.ПрибылиПоПодразделениям!$B34,'План продаж'!$B$5:$B$66,0),0),0)</f>
        <v>1688449.9999999995</v>
      </c>
      <c r="I34" s="67">
        <f>-(HLOOKUP(IF($C$4="Все","Итого:",$C$4),'Расчёт.Постоянные расходы'!$B$5:$I$129,MATCH(Расчёт.ПрибылиПоПодразделениям!$B34,'Расчёт.Постоянные расходы'!$B$5:$B$130,0),0))</f>
        <v>-560000</v>
      </c>
      <c r="J34" s="67">
        <f>-(HLOOKUP(IF($C$4="Все","Итого:",$C$4),Персонал!$Q$4:$V$129,MATCH(Расчёт.ПрибылиПоПодразделениям!$B34,Персонал!$O$4:$O$129,0),0))</f>
        <v>-604500</v>
      </c>
      <c r="K34" s="67">
        <f>-SUMIFS(Инвестиции!$M$13:$M$20,Инвестиции!$B$13:$B$20,Расчёт.ПрибылиПоПодразделениям!$D34)</f>
        <v>-84761.516666666677</v>
      </c>
      <c r="L34" s="67">
        <f t="shared" si="4"/>
        <v>439188.48333333287</v>
      </c>
      <c r="M34" s="67">
        <f>-IF($C$4="Все",SUMIFS('Заёмные средства'!$P:$P,'Заёмные средства'!$F:$F,Расчёт.ПрибылиПоПодразделениям!$B34),0)</f>
        <v>-19097.222222222219</v>
      </c>
      <c r="N34" s="67">
        <f>IF(IF(Персонал!Y31&gt;(-L34*0.15),(-L34*0.15)+Персонал!Y31*0.5,(-L34*0.15)+Персонал!Y31)&gt;0,-F34*0.01,IF(Персонал!Y31&gt;(-L34*0.15),(-L34*0.15)+Персонал!Y31*0.5,(-L34*0.15)+Персонал!Y31))</f>
        <v>-28050</v>
      </c>
    </row>
    <row r="35" spans="2:14" x14ac:dyDescent="0.25">
      <c r="B35" s="67">
        <f t="shared" si="6"/>
        <v>28</v>
      </c>
      <c r="C35" s="67">
        <f t="shared" si="5"/>
        <v>6</v>
      </c>
      <c r="D35" s="67">
        <f t="shared" si="0"/>
        <v>2020</v>
      </c>
      <c r="E35" s="122">
        <f t="shared" si="1"/>
        <v>44012</v>
      </c>
      <c r="F35" s="67">
        <f>IFERROR(HLOOKUP(IF($C$4="Все","Итого:",$C$4),'План продаж'!$L$5:$P$66,MATCH(Расчёт.ПрибылиПоПодразделениям!$B35,'План продаж'!$B$5:$B$66,0),0),0)</f>
        <v>2805000</v>
      </c>
      <c r="G35" s="67">
        <f t="shared" si="3"/>
        <v>-1116550.0000000005</v>
      </c>
      <c r="H35" s="67">
        <f>IFERROR(HLOOKUP(IF($C$4="Все","Итого:",$C$4),'План продаж'!$Q$5:$U$66,MATCH(Расчёт.ПрибылиПоПодразделениям!$B35,'План продаж'!$B$5:$B$66,0),0),0)</f>
        <v>1688449.9999999995</v>
      </c>
      <c r="I35" s="67">
        <f>-(HLOOKUP(IF($C$4="Все","Итого:",$C$4),'Расчёт.Постоянные расходы'!$B$5:$I$129,MATCH(Расчёт.ПрибылиПоПодразделениям!$B35,'Расчёт.Постоянные расходы'!$B$5:$B$130,0),0))</f>
        <v>-560000</v>
      </c>
      <c r="J35" s="67">
        <f>-(HLOOKUP(IF($C$4="Все","Итого:",$C$4),Персонал!$Q$4:$V$129,MATCH(Расчёт.ПрибылиПоПодразделениям!$B35,Персонал!$O$4:$O$129,0),0))</f>
        <v>-604500</v>
      </c>
      <c r="K35" s="67">
        <f>-SUMIFS(Инвестиции!$M$13:$M$20,Инвестиции!$B$13:$B$20,Расчёт.ПрибылиПоПодразделениям!$D35)</f>
        <v>-84761.516666666677</v>
      </c>
      <c r="L35" s="67">
        <f t="shared" si="4"/>
        <v>439188.48333333287</v>
      </c>
      <c r="M35" s="67">
        <f>-IF($C$4="Все",SUMIFS('Заёмные средства'!$P:$P,'Заёмные средства'!$F:$F,Расчёт.ПрибылиПоПодразделениям!$B35),0)</f>
        <v>-17187.499999999996</v>
      </c>
      <c r="N35" s="67">
        <f>IF(IF(Персонал!Y32&gt;(-L35*0.15),(-L35*0.15)+Персонал!Y32*0.5,(-L35*0.15)+Персонал!Y32)&gt;0,-F35*0.01,IF(Персонал!Y32&gt;(-L35*0.15),(-L35*0.15)+Персонал!Y32*0.5,(-L35*0.15)+Персонал!Y32))</f>
        <v>-28050</v>
      </c>
    </row>
    <row r="36" spans="2:14" x14ac:dyDescent="0.25">
      <c r="B36" s="67">
        <f t="shared" si="6"/>
        <v>29</v>
      </c>
      <c r="C36" s="67">
        <f t="shared" si="5"/>
        <v>7</v>
      </c>
      <c r="D36" s="67">
        <f t="shared" si="0"/>
        <v>2020</v>
      </c>
      <c r="E36" s="122">
        <f t="shared" si="1"/>
        <v>44043</v>
      </c>
      <c r="F36" s="67">
        <f>IFERROR(HLOOKUP(IF($C$4="Все","Итого:",$C$4),'План продаж'!$L$5:$P$66,MATCH(Расчёт.ПрибылиПоПодразделениям!$B36,'План продаж'!$B$5:$B$66,0),0),0)</f>
        <v>2805000</v>
      </c>
      <c r="G36" s="67">
        <f t="shared" si="3"/>
        <v>-1116550.0000000005</v>
      </c>
      <c r="H36" s="67">
        <f>IFERROR(HLOOKUP(IF($C$4="Все","Итого:",$C$4),'План продаж'!$Q$5:$U$66,MATCH(Расчёт.ПрибылиПоПодразделениям!$B36,'План продаж'!$B$5:$B$66,0),0),0)</f>
        <v>1688449.9999999995</v>
      </c>
      <c r="I36" s="67">
        <f>-(HLOOKUP(IF($C$4="Все","Итого:",$C$4),'Расчёт.Постоянные расходы'!$B$5:$I$129,MATCH(Расчёт.ПрибылиПоПодразделениям!$B36,'Расчёт.Постоянные расходы'!$B$5:$B$130,0),0))</f>
        <v>-560000</v>
      </c>
      <c r="J36" s="67">
        <f>-(HLOOKUP(IF($C$4="Все","Итого:",$C$4),Персонал!$Q$4:$V$129,MATCH(Расчёт.ПрибылиПоПодразделениям!$B36,Персонал!$O$4:$O$129,0),0))</f>
        <v>-604500</v>
      </c>
      <c r="K36" s="67">
        <f>-SUMIFS(Инвестиции!$M$13:$M$20,Инвестиции!$B$13:$B$20,Расчёт.ПрибылиПоПодразделениям!$D36)</f>
        <v>-84761.516666666677</v>
      </c>
      <c r="L36" s="67">
        <f t="shared" si="4"/>
        <v>439188.48333333287</v>
      </c>
      <c r="M36" s="67">
        <f>-IF($C$4="Все",SUMIFS('Заёмные средства'!$P:$P,'Заёмные средства'!$F:$F,Расчёт.ПрибылиПоПодразделениям!$B36),0)</f>
        <v>-15277.777777777774</v>
      </c>
      <c r="N36" s="67">
        <f>IF(IF(Персонал!Y33&gt;(-L36*0.15),(-L36*0.15)+Персонал!Y33*0.5,(-L36*0.15)+Персонал!Y33)&gt;0,-F36*0.01,IF(Персонал!Y33&gt;(-L36*0.15),(-L36*0.15)+Персонал!Y33*0.5,(-L36*0.15)+Персонал!Y33))</f>
        <v>-28050</v>
      </c>
    </row>
    <row r="37" spans="2:14" x14ac:dyDescent="0.25">
      <c r="B37" s="67">
        <f t="shared" si="6"/>
        <v>30</v>
      </c>
      <c r="C37" s="67">
        <f t="shared" si="5"/>
        <v>8</v>
      </c>
      <c r="D37" s="67">
        <f t="shared" si="0"/>
        <v>2020</v>
      </c>
      <c r="E37" s="122">
        <f t="shared" si="1"/>
        <v>44074</v>
      </c>
      <c r="F37" s="67">
        <f>IFERROR(HLOOKUP(IF($C$4="Все","Итого:",$C$4),'План продаж'!$L$5:$P$66,MATCH(Расчёт.ПрибылиПоПодразделениям!$B37,'План продаж'!$B$5:$B$66,0),0),0)</f>
        <v>2805000</v>
      </c>
      <c r="G37" s="67">
        <f t="shared" si="3"/>
        <v>-1116550.0000000005</v>
      </c>
      <c r="H37" s="67">
        <f>IFERROR(HLOOKUP(IF($C$4="Все","Итого:",$C$4),'План продаж'!$Q$5:$U$66,MATCH(Расчёт.ПрибылиПоПодразделениям!$B37,'План продаж'!$B$5:$B$66,0),0),0)</f>
        <v>1688449.9999999995</v>
      </c>
      <c r="I37" s="67">
        <f>-(HLOOKUP(IF($C$4="Все","Итого:",$C$4),'Расчёт.Постоянные расходы'!$B$5:$I$129,MATCH(Расчёт.ПрибылиПоПодразделениям!$B37,'Расчёт.Постоянные расходы'!$B$5:$B$130,0),0))</f>
        <v>-560000</v>
      </c>
      <c r="J37" s="67">
        <f>-(HLOOKUP(IF($C$4="Все","Итого:",$C$4),Персонал!$Q$4:$V$129,MATCH(Расчёт.ПрибылиПоПодразделениям!$B37,Персонал!$O$4:$O$129,0),0))</f>
        <v>-604500</v>
      </c>
      <c r="K37" s="67">
        <f>-SUMIFS(Инвестиции!$M$13:$M$20,Инвестиции!$B$13:$B$20,Расчёт.ПрибылиПоПодразделениям!$D37)</f>
        <v>-84761.516666666677</v>
      </c>
      <c r="L37" s="67">
        <f t="shared" si="4"/>
        <v>439188.48333333287</v>
      </c>
      <c r="M37" s="67">
        <f>-IF($C$4="Все",SUMIFS('Заёмные средства'!$P:$P,'Заёмные средства'!$F:$F,Расчёт.ПрибылиПоПодразделениям!$B37),0)</f>
        <v>-13368.055555555553</v>
      </c>
      <c r="N37" s="67">
        <f>IF(IF(Персонал!Y34&gt;(-L37*0.15),(-L37*0.15)+Персонал!Y34*0.5,(-L37*0.15)+Персонал!Y34)&gt;0,-F37*0.01,IF(Персонал!Y34&gt;(-L37*0.15),(-L37*0.15)+Персонал!Y34*0.5,(-L37*0.15)+Персонал!Y34))</f>
        <v>-28050</v>
      </c>
    </row>
    <row r="38" spans="2:14" x14ac:dyDescent="0.25">
      <c r="B38" s="67">
        <f t="shared" si="6"/>
        <v>31</v>
      </c>
      <c r="C38" s="67">
        <f t="shared" si="5"/>
        <v>9</v>
      </c>
      <c r="D38" s="67">
        <f t="shared" si="0"/>
        <v>2020</v>
      </c>
      <c r="E38" s="122">
        <f t="shared" si="1"/>
        <v>44104</v>
      </c>
      <c r="F38" s="67">
        <f>IFERROR(HLOOKUP(IF($C$4="Все","Итого:",$C$4),'План продаж'!$L$5:$P$66,MATCH(Расчёт.ПрибылиПоПодразделениям!$B38,'План продаж'!$B$5:$B$66,0),0),0)</f>
        <v>2805000</v>
      </c>
      <c r="G38" s="67">
        <f t="shared" si="3"/>
        <v>-1116550.0000000005</v>
      </c>
      <c r="H38" s="67">
        <f>IFERROR(HLOOKUP(IF($C$4="Все","Итого:",$C$4),'План продаж'!$Q$5:$U$66,MATCH(Расчёт.ПрибылиПоПодразделениям!$B38,'План продаж'!$B$5:$B$66,0),0),0)</f>
        <v>1688449.9999999995</v>
      </c>
      <c r="I38" s="67">
        <f>-(HLOOKUP(IF($C$4="Все","Итого:",$C$4),'Расчёт.Постоянные расходы'!$B$5:$I$129,MATCH(Расчёт.ПрибылиПоПодразделениям!$B38,'Расчёт.Постоянные расходы'!$B$5:$B$130,0),0))</f>
        <v>-560000</v>
      </c>
      <c r="J38" s="67">
        <f>-(HLOOKUP(IF($C$4="Все","Итого:",$C$4),Персонал!$Q$4:$V$129,MATCH(Расчёт.ПрибылиПоПодразделениям!$B38,Персонал!$O$4:$O$129,0),0))</f>
        <v>-604500</v>
      </c>
      <c r="K38" s="67">
        <f>-SUMIFS(Инвестиции!$M$13:$M$20,Инвестиции!$B$13:$B$20,Расчёт.ПрибылиПоПодразделениям!$D38)</f>
        <v>-84761.516666666677</v>
      </c>
      <c r="L38" s="67">
        <f t="shared" si="4"/>
        <v>439188.48333333287</v>
      </c>
      <c r="M38" s="67">
        <f>-IF($C$4="Все",SUMIFS('Заёмные средства'!$P:$P,'Заёмные средства'!$F:$F,Расчёт.ПрибылиПоПодразделениям!$B38),0)</f>
        <v>-11458.33333333333</v>
      </c>
      <c r="N38" s="67">
        <f>IF(IF(Персонал!Y35&gt;(-L38*0.15),(-L38*0.15)+Персонал!Y35*0.5,(-L38*0.15)+Персонал!Y35)&gt;0,-F38*0.01,IF(Персонал!Y35&gt;(-L38*0.15),(-L38*0.15)+Персонал!Y35*0.5,(-L38*0.15)+Персонал!Y35))</f>
        <v>-28050</v>
      </c>
    </row>
    <row r="39" spans="2:14" x14ac:dyDescent="0.25">
      <c r="B39" s="67">
        <f t="shared" si="6"/>
        <v>32</v>
      </c>
      <c r="C39" s="67">
        <f t="shared" si="5"/>
        <v>10</v>
      </c>
      <c r="D39" s="67">
        <f t="shared" si="0"/>
        <v>2020</v>
      </c>
      <c r="E39" s="122">
        <f t="shared" si="1"/>
        <v>44135</v>
      </c>
      <c r="F39" s="67">
        <f>IFERROR(HLOOKUP(IF($C$4="Все","Итого:",$C$4),'План продаж'!$L$5:$P$66,MATCH(Расчёт.ПрибылиПоПодразделениям!$B39,'План продаж'!$B$5:$B$66,0),0),0)</f>
        <v>3740000</v>
      </c>
      <c r="G39" s="67">
        <f t="shared" si="3"/>
        <v>-1488733.333333334</v>
      </c>
      <c r="H39" s="67">
        <f>IFERROR(HLOOKUP(IF($C$4="Все","Итого:",$C$4),'План продаж'!$Q$5:$U$66,MATCH(Расчёт.ПрибылиПоПодразделениям!$B39,'План продаж'!$B$5:$B$66,0),0),0)</f>
        <v>2251266.666666666</v>
      </c>
      <c r="I39" s="67">
        <f>-(HLOOKUP(IF($C$4="Все","Итого:",$C$4),'Расчёт.Постоянные расходы'!$B$5:$I$129,MATCH(Расчёт.ПрибылиПоПодразделениям!$B39,'Расчёт.Постоянные расходы'!$B$5:$B$130,0),0))</f>
        <v>-560000</v>
      </c>
      <c r="J39" s="67">
        <f>-(HLOOKUP(IF($C$4="Все","Итого:",$C$4),Персонал!$Q$4:$V$129,MATCH(Расчёт.ПрибылиПоПодразделениям!$B39,Персонал!$O$4:$O$129,0),0))</f>
        <v>-604500</v>
      </c>
      <c r="K39" s="67">
        <f>-SUMIFS(Инвестиции!$M$13:$M$20,Инвестиции!$B$13:$B$20,Расчёт.ПрибылиПоПодразделениям!$D39)</f>
        <v>-84761.516666666677</v>
      </c>
      <c r="L39" s="67">
        <f t="shared" si="4"/>
        <v>1002005.1499999993</v>
      </c>
      <c r="M39" s="67">
        <f>-IF($C$4="Все",SUMIFS('Заёмные средства'!$P:$P,'Заёмные средства'!$F:$F,Расчёт.ПрибылиПоПодразделениям!$B39),0)</f>
        <v>-9548.6111111111095</v>
      </c>
      <c r="N39" s="67">
        <f>IF(IF(Персонал!Y36&gt;(-L39*0.15),(-L39*0.15)+Персонал!Y36*0.5,(-L39*0.15)+Персонал!Y36)&gt;0,-F39*0.01,IF(Персонал!Y36&gt;(-L39*0.15),(-L39*0.15)+Персонал!Y36*0.5,(-L39*0.15)+Персонал!Y36))</f>
        <v>-80550.772499999905</v>
      </c>
    </row>
    <row r="40" spans="2:14" x14ac:dyDescent="0.25">
      <c r="B40" s="67">
        <f t="shared" si="6"/>
        <v>33</v>
      </c>
      <c r="C40" s="67">
        <f t="shared" si="5"/>
        <v>11</v>
      </c>
      <c r="D40" s="67">
        <f t="shared" si="0"/>
        <v>2020</v>
      </c>
      <c r="E40" s="122">
        <f t="shared" si="1"/>
        <v>44165</v>
      </c>
      <c r="F40" s="67">
        <f>IFERROR(HLOOKUP(IF($C$4="Все","Итого:",$C$4),'План продаж'!$L$5:$P$66,MATCH(Расчёт.ПрибылиПоПодразделениям!$B40,'План продаж'!$B$5:$B$66,0),0),0)</f>
        <v>3740000</v>
      </c>
      <c r="G40" s="67">
        <f t="shared" si="3"/>
        <v>-1488733.333333334</v>
      </c>
      <c r="H40" s="67">
        <f>IFERROR(HLOOKUP(IF($C$4="Все","Итого:",$C$4),'План продаж'!$Q$5:$U$66,MATCH(Расчёт.ПрибылиПоПодразделениям!$B40,'План продаж'!$B$5:$B$66,0),0),0)</f>
        <v>2251266.666666666</v>
      </c>
      <c r="I40" s="67">
        <f>-(HLOOKUP(IF($C$4="Все","Итого:",$C$4),'Расчёт.Постоянные расходы'!$B$5:$I$129,MATCH(Расчёт.ПрибылиПоПодразделениям!$B40,'Расчёт.Постоянные расходы'!$B$5:$B$130,0),0))</f>
        <v>-560000</v>
      </c>
      <c r="J40" s="67">
        <f>-(HLOOKUP(IF($C$4="Все","Итого:",$C$4),Персонал!$Q$4:$V$129,MATCH(Расчёт.ПрибылиПоПодразделениям!$B40,Персонал!$O$4:$O$129,0),0))</f>
        <v>-604500</v>
      </c>
      <c r="K40" s="67">
        <f>-SUMIFS(Инвестиции!$M$13:$M$20,Инвестиции!$B$13:$B$20,Расчёт.ПрибылиПоПодразделениям!$D40)</f>
        <v>-84761.516666666677</v>
      </c>
      <c r="L40" s="67">
        <f t="shared" si="4"/>
        <v>1002005.1499999993</v>
      </c>
      <c r="M40" s="67">
        <f>-IF($C$4="Все",SUMIFS('Заёмные средства'!$P:$P,'Заёмные средства'!$F:$F,Расчёт.ПрибылиПоПодразделениям!$B40),0)</f>
        <v>-7638.8888888888869</v>
      </c>
      <c r="N40" s="67">
        <f>IF(IF(Персонал!Y37&gt;(-L40*0.15),(-L40*0.15)+Персонал!Y37*0.5,(-L40*0.15)+Персонал!Y37)&gt;0,-F40*0.01,IF(Персонал!Y37&gt;(-L40*0.15),(-L40*0.15)+Персонал!Y37*0.5,(-L40*0.15)+Персонал!Y37))</f>
        <v>-80550.772499999905</v>
      </c>
    </row>
    <row r="41" spans="2:14" x14ac:dyDescent="0.25">
      <c r="B41" s="67">
        <f t="shared" si="6"/>
        <v>34</v>
      </c>
      <c r="C41" s="67">
        <f t="shared" si="5"/>
        <v>12</v>
      </c>
      <c r="D41" s="67">
        <f t="shared" si="0"/>
        <v>2020</v>
      </c>
      <c r="E41" s="122">
        <f t="shared" si="1"/>
        <v>44196</v>
      </c>
      <c r="F41" s="67">
        <f>IFERROR(HLOOKUP(IF($C$4="Все","Итого:",$C$4),'План продаж'!$L$5:$P$66,MATCH(Расчёт.ПрибылиПоПодразделениям!$B41,'План продаж'!$B$5:$B$66,0),0),0)</f>
        <v>3740000</v>
      </c>
      <c r="G41" s="67">
        <f t="shared" si="3"/>
        <v>-1488733.333333334</v>
      </c>
      <c r="H41" s="67">
        <f>IFERROR(HLOOKUP(IF($C$4="Все","Итого:",$C$4),'План продаж'!$Q$5:$U$66,MATCH(Расчёт.ПрибылиПоПодразделениям!$B41,'План продаж'!$B$5:$B$66,0),0),0)</f>
        <v>2251266.666666666</v>
      </c>
      <c r="I41" s="67">
        <f>-(HLOOKUP(IF($C$4="Все","Итого:",$C$4),'Расчёт.Постоянные расходы'!$B$5:$I$129,MATCH(Расчёт.ПрибылиПоПодразделениям!$B41,'Расчёт.Постоянные расходы'!$B$5:$B$130,0),0))</f>
        <v>-560000</v>
      </c>
      <c r="J41" s="67">
        <f>-(HLOOKUP(IF($C$4="Все","Итого:",$C$4),Персонал!$Q$4:$V$129,MATCH(Расчёт.ПрибылиПоПодразделениям!$B41,Персонал!$O$4:$O$129,0),0))</f>
        <v>-604500</v>
      </c>
      <c r="K41" s="67">
        <f>-SUMIFS(Инвестиции!$M$13:$M$20,Инвестиции!$B$13:$B$20,Расчёт.ПрибылиПоПодразделениям!$D41)</f>
        <v>-84761.516666666677</v>
      </c>
      <c r="L41" s="67">
        <f t="shared" si="4"/>
        <v>1002005.1499999993</v>
      </c>
      <c r="M41" s="67">
        <f>-IF($C$4="Все",SUMIFS('Заёмные средства'!$P:$P,'Заёмные средства'!$F:$F,Расчёт.ПрибылиПоПодразделениям!$B41),0)</f>
        <v>-5729.1666666666652</v>
      </c>
      <c r="N41" s="67">
        <f>IF(IF(Персонал!Y38&gt;(-L41*0.15),(-L41*0.15)+Персонал!Y38*0.5,(-L41*0.15)+Персонал!Y38)&gt;0,-F41*0.01,IF(Персонал!Y38&gt;(-L41*0.15),(-L41*0.15)+Персонал!Y38*0.5,(-L41*0.15)+Персонал!Y38))</f>
        <v>-80550.772499999905</v>
      </c>
    </row>
    <row r="42" spans="2:14" x14ac:dyDescent="0.25">
      <c r="B42" s="67">
        <f t="shared" si="6"/>
        <v>35</v>
      </c>
      <c r="C42" s="67">
        <f t="shared" si="5"/>
        <v>1</v>
      </c>
      <c r="D42" s="67">
        <f t="shared" si="0"/>
        <v>2021</v>
      </c>
      <c r="E42" s="122">
        <f t="shared" si="1"/>
        <v>44227</v>
      </c>
      <c r="F42" s="67">
        <f>IFERROR(HLOOKUP(IF($C$4="Все","Итого:",$C$4),'План продаж'!$L$5:$P$66,MATCH(Расчёт.ПрибылиПоПодразделениям!$B42,'План продаж'!$B$5:$B$66,0),0),0)</f>
        <v>3740000</v>
      </c>
      <c r="G42" s="67">
        <f t="shared" si="3"/>
        <v>-1488733.333333334</v>
      </c>
      <c r="H42" s="67">
        <f>IFERROR(HLOOKUP(IF($C$4="Все","Итого:",$C$4),'План продаж'!$Q$5:$U$66,MATCH(Расчёт.ПрибылиПоПодразделениям!$B42,'План продаж'!$B$5:$B$66,0),0),0)</f>
        <v>2251266.666666666</v>
      </c>
      <c r="I42" s="67">
        <f>-(HLOOKUP(IF($C$4="Все","Итого:",$C$4),'Расчёт.Постоянные расходы'!$B$5:$I$129,MATCH(Расчёт.ПрибылиПоПодразделениям!$B42,'Расчёт.Постоянные расходы'!$B$5:$B$130,0),0))</f>
        <v>-560000</v>
      </c>
      <c r="J42" s="67">
        <f>-(HLOOKUP(IF($C$4="Все","Итого:",$C$4),Персонал!$Q$4:$V$129,MATCH(Расчёт.ПрибылиПоПодразделениям!$B42,Персонал!$O$4:$O$129,0),0))</f>
        <v>-604500</v>
      </c>
      <c r="K42" s="67">
        <f>-SUMIFS(Инвестиции!$M$13:$M$20,Инвестиции!$B$13:$B$20,Расчёт.ПрибылиПоПодразделениям!$D42)</f>
        <v>-84761.516666666677</v>
      </c>
      <c r="L42" s="67">
        <f t="shared" si="4"/>
        <v>1002005.1499999993</v>
      </c>
      <c r="M42" s="67">
        <f>-IF($C$4="Все",SUMIFS('Заёмные средства'!$P:$P,'Заёмные средства'!$F:$F,Расчёт.ПрибылиПоПодразделениям!$B42),0)</f>
        <v>-3819.4444444444434</v>
      </c>
      <c r="N42" s="67">
        <f>IF(IF(Персонал!Y39&gt;(-L42*0.15),(-L42*0.15)+Персонал!Y39*0.5,(-L42*0.15)+Персонал!Y39)&gt;0,-F42*0.01,IF(Персонал!Y39&gt;(-L42*0.15),(-L42*0.15)+Персонал!Y39*0.5,(-L42*0.15)+Персонал!Y39))</f>
        <v>-80550.772499999905</v>
      </c>
    </row>
    <row r="43" spans="2:14" x14ac:dyDescent="0.25">
      <c r="B43" s="67">
        <f t="shared" si="6"/>
        <v>36</v>
      </c>
      <c r="C43" s="67">
        <f t="shared" si="5"/>
        <v>2</v>
      </c>
      <c r="D43" s="67">
        <f t="shared" si="0"/>
        <v>2021</v>
      </c>
      <c r="E43" s="122">
        <f t="shared" si="1"/>
        <v>44255</v>
      </c>
      <c r="F43" s="67">
        <f>IFERROR(HLOOKUP(IF($C$4="Все","Итого:",$C$4),'План продаж'!$L$5:$P$66,MATCH(Расчёт.ПрибылиПоПодразделениям!$B43,'План продаж'!$B$5:$B$66,0),0),0)</f>
        <v>3740000</v>
      </c>
      <c r="G43" s="67">
        <f t="shared" si="3"/>
        <v>-1488733.333333334</v>
      </c>
      <c r="H43" s="67">
        <f>IFERROR(HLOOKUP(IF($C$4="Все","Итого:",$C$4),'План продаж'!$Q$5:$U$66,MATCH(Расчёт.ПрибылиПоПодразделениям!$B43,'План продаж'!$B$5:$B$66,0),0),0)</f>
        <v>2251266.666666666</v>
      </c>
      <c r="I43" s="67">
        <f>-(HLOOKUP(IF($C$4="Все","Итого:",$C$4),'Расчёт.Постоянные расходы'!$B$5:$I$129,MATCH(Расчёт.ПрибылиПоПодразделениям!$B43,'Расчёт.Постоянные расходы'!$B$5:$B$130,0),0))</f>
        <v>-560000</v>
      </c>
      <c r="J43" s="67">
        <f>-(HLOOKUP(IF($C$4="Все","Итого:",$C$4),Персонал!$Q$4:$V$129,MATCH(Расчёт.ПрибылиПоПодразделениям!$B43,Персонал!$O$4:$O$129,0),0))</f>
        <v>-604500</v>
      </c>
      <c r="K43" s="67">
        <f>-SUMIFS(Инвестиции!$M$13:$M$20,Инвестиции!$B$13:$B$20,Расчёт.ПрибылиПоПодразделениям!$D43)</f>
        <v>-84761.516666666677</v>
      </c>
      <c r="L43" s="67">
        <f t="shared" si="4"/>
        <v>1002005.1499999993</v>
      </c>
      <c r="M43" s="67">
        <f>-IF($C$4="Все",SUMIFS('Заёмные средства'!$P:$P,'Заёмные средства'!$F:$F,Расчёт.ПрибылиПоПодразделениям!$B43),0)</f>
        <v>-1909.7222222222217</v>
      </c>
      <c r="N43" s="67">
        <f>IF(IF(Персонал!Y40&gt;(-L43*0.15),(-L43*0.15)+Персонал!Y40*0.5,(-L43*0.15)+Персонал!Y40)&gt;0,-F43*0.01,IF(Персонал!Y40&gt;(-L43*0.15),(-L43*0.15)+Персонал!Y40*0.5,(-L43*0.15)+Персонал!Y40))</f>
        <v>-80550.772499999905</v>
      </c>
    </row>
    <row r="44" spans="2:14" x14ac:dyDescent="0.25">
      <c r="B44" s="67">
        <f t="shared" si="6"/>
        <v>37</v>
      </c>
      <c r="C44" s="67">
        <f t="shared" si="5"/>
        <v>3</v>
      </c>
      <c r="D44" s="67">
        <f t="shared" si="0"/>
        <v>2021</v>
      </c>
      <c r="E44" s="122">
        <f t="shared" si="1"/>
        <v>44286</v>
      </c>
      <c r="F44" s="67">
        <f>IFERROR(HLOOKUP(IF($C$4="Все","Итого:",$C$4),'План продаж'!$L$5:$P$66,MATCH(Расчёт.ПрибылиПоПодразделениям!$B44,'План продаж'!$B$5:$B$66,0),0),0)</f>
        <v>3740000</v>
      </c>
      <c r="G44" s="67">
        <f t="shared" si="3"/>
        <v>-1488733.333333334</v>
      </c>
      <c r="H44" s="67">
        <f>IFERROR(HLOOKUP(IF($C$4="Все","Итого:",$C$4),'План продаж'!$Q$5:$U$66,MATCH(Расчёт.ПрибылиПоПодразделениям!$B44,'План продаж'!$B$5:$B$66,0),0),0)</f>
        <v>2251266.666666666</v>
      </c>
      <c r="I44" s="67">
        <f>-(HLOOKUP(IF($C$4="Все","Итого:",$C$4),'Расчёт.Постоянные расходы'!$B$5:$I$129,MATCH(Расчёт.ПрибылиПоПодразделениям!$B44,'Расчёт.Постоянные расходы'!$B$5:$B$130,0),0))</f>
        <v>-560000</v>
      </c>
      <c r="J44" s="67">
        <f>-(HLOOKUP(IF($C$4="Все","Итого:",$C$4),Персонал!$Q$4:$V$129,MATCH(Расчёт.ПрибылиПоПодразделениям!$B44,Персонал!$O$4:$O$129,0),0))</f>
        <v>-604500</v>
      </c>
      <c r="K44" s="67">
        <f>-SUMIFS(Инвестиции!$M$13:$M$20,Инвестиции!$B$13:$B$20,Расчёт.ПрибылиПоПодразделениям!$D44)</f>
        <v>-84761.516666666677</v>
      </c>
      <c r="L44" s="67">
        <f t="shared" si="4"/>
        <v>1002005.1499999993</v>
      </c>
      <c r="M44" s="67">
        <f>-IF($C$4="Все",SUMIFS('Заёмные средства'!$P:$P,'Заёмные средства'!$F:$F,Расчёт.ПрибылиПоПодразделениям!$B44),0)</f>
        <v>0</v>
      </c>
      <c r="N44" s="67">
        <f>IF(IF(Персонал!Y41&gt;(-L44*0.15),(-L44*0.15)+Персонал!Y41*0.5,(-L44*0.15)+Персонал!Y41)&gt;0,-F44*0.01,IF(Персонал!Y41&gt;(-L44*0.15),(-L44*0.15)+Персонал!Y41*0.5,(-L44*0.15)+Персонал!Y41))</f>
        <v>-80550.772499999905</v>
      </c>
    </row>
    <row r="45" spans="2:14" x14ac:dyDescent="0.25">
      <c r="B45" s="67">
        <f t="shared" si="6"/>
        <v>38</v>
      </c>
      <c r="C45" s="67">
        <f t="shared" si="5"/>
        <v>4</v>
      </c>
      <c r="D45" s="67">
        <f t="shared" si="0"/>
        <v>2021</v>
      </c>
      <c r="E45" s="122">
        <f t="shared" si="1"/>
        <v>44316</v>
      </c>
      <c r="F45" s="67">
        <f>IFERROR(HLOOKUP(IF($C$4="Все","Итого:",$C$4),'План продаж'!$L$5:$P$66,MATCH(Расчёт.ПрибылиПоПодразделениям!$B45,'План продаж'!$B$5:$B$66,0),0),0)</f>
        <v>3740000</v>
      </c>
      <c r="G45" s="67">
        <f t="shared" si="3"/>
        <v>-1488733.333333334</v>
      </c>
      <c r="H45" s="67">
        <f>IFERROR(HLOOKUP(IF($C$4="Все","Итого:",$C$4),'План продаж'!$Q$5:$U$66,MATCH(Расчёт.ПрибылиПоПодразделениям!$B45,'План продаж'!$B$5:$B$66,0),0),0)</f>
        <v>2251266.666666666</v>
      </c>
      <c r="I45" s="67">
        <f>-(HLOOKUP(IF($C$4="Все","Итого:",$C$4),'Расчёт.Постоянные расходы'!$B$5:$I$129,MATCH(Расчёт.ПрибылиПоПодразделениям!$B45,'Расчёт.Постоянные расходы'!$B$5:$B$130,0),0))</f>
        <v>-560000</v>
      </c>
      <c r="J45" s="67">
        <f>-(HLOOKUP(IF($C$4="Все","Итого:",$C$4),Персонал!$Q$4:$V$129,MATCH(Расчёт.ПрибылиПоПодразделениям!$B45,Персонал!$O$4:$O$129,0),0))</f>
        <v>-604500</v>
      </c>
      <c r="K45" s="67">
        <f>-SUMIFS(Инвестиции!$M$13:$M$20,Инвестиции!$B$13:$B$20,Расчёт.ПрибылиПоПодразделениям!$D45)</f>
        <v>-84761.516666666677</v>
      </c>
      <c r="L45" s="67">
        <f t="shared" si="4"/>
        <v>1002005.1499999993</v>
      </c>
      <c r="M45" s="67">
        <f>-IF($C$4="Все",SUMIFS('Заёмные средства'!$P:$P,'Заёмные средства'!$F:$F,Расчёт.ПрибылиПоПодразделениям!$B45),0)</f>
        <v>0</v>
      </c>
      <c r="N45" s="67">
        <f>IF(IF(Персонал!Y42&gt;(-L45*0.15),(-L45*0.15)+Персонал!Y42*0.5,(-L45*0.15)+Персонал!Y42)&gt;0,-F45*0.01,IF(Персонал!Y42&gt;(-L45*0.15),(-L45*0.15)+Персонал!Y42*0.5,(-L45*0.15)+Персонал!Y42))</f>
        <v>-80550.772499999905</v>
      </c>
    </row>
    <row r="46" spans="2:14" x14ac:dyDescent="0.25">
      <c r="B46" s="67">
        <f t="shared" si="6"/>
        <v>39</v>
      </c>
      <c r="C46" s="67">
        <f t="shared" si="5"/>
        <v>5</v>
      </c>
      <c r="D46" s="67">
        <f t="shared" si="0"/>
        <v>2021</v>
      </c>
      <c r="E46" s="122">
        <f t="shared" si="1"/>
        <v>44347</v>
      </c>
      <c r="F46" s="67">
        <f>IFERROR(HLOOKUP(IF($C$4="Все","Итого:",$C$4),'План продаж'!$L$5:$P$66,MATCH(Расчёт.ПрибылиПоПодразделениям!$B46,'План продаж'!$B$5:$B$66,0),0),0)</f>
        <v>2805000</v>
      </c>
      <c r="G46" s="67">
        <f t="shared" si="3"/>
        <v>-1116550.0000000005</v>
      </c>
      <c r="H46" s="67">
        <f>IFERROR(HLOOKUP(IF($C$4="Все","Итого:",$C$4),'План продаж'!$Q$5:$U$66,MATCH(Расчёт.ПрибылиПоПодразделениям!$B46,'План продаж'!$B$5:$B$66,0),0),0)</f>
        <v>1688449.9999999995</v>
      </c>
      <c r="I46" s="67">
        <f>-(HLOOKUP(IF($C$4="Все","Итого:",$C$4),'Расчёт.Постоянные расходы'!$B$5:$I$129,MATCH(Расчёт.ПрибылиПоПодразделениям!$B46,'Расчёт.Постоянные расходы'!$B$5:$B$130,0),0))</f>
        <v>-560000</v>
      </c>
      <c r="J46" s="67">
        <f>-(HLOOKUP(IF($C$4="Все","Итого:",$C$4),Персонал!$Q$4:$V$129,MATCH(Расчёт.ПрибылиПоПодразделениям!$B46,Персонал!$O$4:$O$129,0),0))</f>
        <v>-604500</v>
      </c>
      <c r="K46" s="67">
        <f>-SUMIFS(Инвестиции!$M$13:$M$20,Инвестиции!$B$13:$B$20,Расчёт.ПрибылиПоПодразделениям!$D46)</f>
        <v>-84761.516666666677</v>
      </c>
      <c r="L46" s="67">
        <f t="shared" si="4"/>
        <v>439188.48333333287</v>
      </c>
      <c r="M46" s="67">
        <f>-IF($C$4="Все",SUMIFS('Заёмные средства'!$P:$P,'Заёмные средства'!$F:$F,Расчёт.ПрибылиПоПодразделениям!$B46),0)</f>
        <v>0</v>
      </c>
      <c r="N46" s="67">
        <f>IF(IF(Персонал!Y43&gt;(-L46*0.15),(-L46*0.15)+Персонал!Y43*0.5,(-L46*0.15)+Персонал!Y43)&gt;0,-F46*0.01,IF(Персонал!Y43&gt;(-L46*0.15),(-L46*0.15)+Персонал!Y43*0.5,(-L46*0.15)+Персонал!Y43))</f>
        <v>-28050</v>
      </c>
    </row>
    <row r="47" spans="2:14" x14ac:dyDescent="0.25">
      <c r="B47" s="67">
        <f t="shared" si="6"/>
        <v>40</v>
      </c>
      <c r="C47" s="67">
        <f t="shared" si="5"/>
        <v>6</v>
      </c>
      <c r="D47" s="67">
        <f t="shared" si="0"/>
        <v>2021</v>
      </c>
      <c r="E47" s="122">
        <f t="shared" si="1"/>
        <v>44377</v>
      </c>
      <c r="F47" s="67">
        <f>IFERROR(HLOOKUP(IF($C$4="Все","Итого:",$C$4),'План продаж'!$L$5:$P$66,MATCH(Расчёт.ПрибылиПоПодразделениям!$B47,'План продаж'!$B$5:$B$66,0),0),0)</f>
        <v>2805000</v>
      </c>
      <c r="G47" s="67">
        <f t="shared" si="3"/>
        <v>-1116550.0000000005</v>
      </c>
      <c r="H47" s="67">
        <f>IFERROR(HLOOKUP(IF($C$4="Все","Итого:",$C$4),'План продаж'!$Q$5:$U$66,MATCH(Расчёт.ПрибылиПоПодразделениям!$B47,'План продаж'!$B$5:$B$66,0),0),0)</f>
        <v>1688449.9999999995</v>
      </c>
      <c r="I47" s="67">
        <f>-(HLOOKUP(IF($C$4="Все","Итого:",$C$4),'Расчёт.Постоянные расходы'!$B$5:$I$129,MATCH(Расчёт.ПрибылиПоПодразделениям!$B47,'Расчёт.Постоянные расходы'!$B$5:$B$130,0),0))</f>
        <v>-560000</v>
      </c>
      <c r="J47" s="67">
        <f>-(HLOOKUP(IF($C$4="Все","Итого:",$C$4),Персонал!$Q$4:$V$129,MATCH(Расчёт.ПрибылиПоПодразделениям!$B47,Персонал!$O$4:$O$129,0),0))</f>
        <v>-604500</v>
      </c>
      <c r="K47" s="67">
        <f>-SUMIFS(Инвестиции!$M$13:$M$20,Инвестиции!$B$13:$B$20,Расчёт.ПрибылиПоПодразделениям!$D47)</f>
        <v>-84761.516666666677</v>
      </c>
      <c r="L47" s="67">
        <f t="shared" si="4"/>
        <v>439188.48333333287</v>
      </c>
      <c r="M47" s="67">
        <f>-IF($C$4="Все",SUMIFS('Заёмные средства'!$P:$P,'Заёмные средства'!$F:$F,Расчёт.ПрибылиПоПодразделениям!$B47),0)</f>
        <v>0</v>
      </c>
      <c r="N47" s="67">
        <f>IF(IF(Персонал!Y44&gt;(-L47*0.15),(-L47*0.15)+Персонал!Y44*0.5,(-L47*0.15)+Персонал!Y44)&gt;0,-F47*0.01,IF(Персонал!Y44&gt;(-L47*0.15),(-L47*0.15)+Персонал!Y44*0.5,(-L47*0.15)+Персонал!Y44))</f>
        <v>-28050</v>
      </c>
    </row>
    <row r="48" spans="2:14" x14ac:dyDescent="0.25">
      <c r="B48" s="67">
        <f t="shared" si="6"/>
        <v>41</v>
      </c>
      <c r="C48" s="67">
        <f t="shared" si="5"/>
        <v>7</v>
      </c>
      <c r="D48" s="67">
        <f t="shared" si="0"/>
        <v>2021</v>
      </c>
      <c r="E48" s="122">
        <f t="shared" si="1"/>
        <v>44408</v>
      </c>
      <c r="F48" s="67">
        <f>IFERROR(HLOOKUP(IF($C$4="Все","Итого:",$C$4),'План продаж'!$L$5:$P$66,MATCH(Расчёт.ПрибылиПоПодразделениям!$B48,'План продаж'!$B$5:$B$66,0),0),0)</f>
        <v>2805000</v>
      </c>
      <c r="G48" s="67">
        <f t="shared" si="3"/>
        <v>-1116550.0000000005</v>
      </c>
      <c r="H48" s="67">
        <f>IFERROR(HLOOKUP(IF($C$4="Все","Итого:",$C$4),'План продаж'!$Q$5:$U$66,MATCH(Расчёт.ПрибылиПоПодразделениям!$B48,'План продаж'!$B$5:$B$66,0),0),0)</f>
        <v>1688449.9999999995</v>
      </c>
      <c r="I48" s="67">
        <f>-(HLOOKUP(IF($C$4="Все","Итого:",$C$4),'Расчёт.Постоянные расходы'!$B$5:$I$129,MATCH(Расчёт.ПрибылиПоПодразделениям!$B48,'Расчёт.Постоянные расходы'!$B$5:$B$130,0),0))</f>
        <v>-560000</v>
      </c>
      <c r="J48" s="67">
        <f>-(HLOOKUP(IF($C$4="Все","Итого:",$C$4),Персонал!$Q$4:$V$129,MATCH(Расчёт.ПрибылиПоПодразделениям!$B48,Персонал!$O$4:$O$129,0),0))</f>
        <v>-604500</v>
      </c>
      <c r="K48" s="67">
        <f>-SUMIFS(Инвестиции!$M$13:$M$20,Инвестиции!$B$13:$B$20,Расчёт.ПрибылиПоПодразделениям!$D48)</f>
        <v>-84761.516666666677</v>
      </c>
      <c r="L48" s="67">
        <f t="shared" si="4"/>
        <v>439188.48333333287</v>
      </c>
      <c r="M48" s="67">
        <f>-IF($C$4="Все",SUMIFS('Заёмные средства'!$P:$P,'Заёмные средства'!$F:$F,Расчёт.ПрибылиПоПодразделениям!$B48),0)</f>
        <v>0</v>
      </c>
      <c r="N48" s="67">
        <f>IF(IF(Персонал!Y45&gt;(-L48*0.15),(-L48*0.15)+Персонал!Y45*0.5,(-L48*0.15)+Персонал!Y45)&gt;0,-F48*0.01,IF(Персонал!Y45&gt;(-L48*0.15),(-L48*0.15)+Персонал!Y45*0.5,(-L48*0.15)+Персонал!Y45))</f>
        <v>-28050</v>
      </c>
    </row>
    <row r="49" spans="2:14" x14ac:dyDescent="0.25">
      <c r="B49" s="67">
        <f t="shared" si="6"/>
        <v>42</v>
      </c>
      <c r="C49" s="67">
        <f t="shared" si="5"/>
        <v>8</v>
      </c>
      <c r="D49" s="67">
        <f t="shared" si="0"/>
        <v>2021</v>
      </c>
      <c r="E49" s="122">
        <f t="shared" si="1"/>
        <v>44439</v>
      </c>
      <c r="F49" s="67">
        <f>IFERROR(HLOOKUP(IF($C$4="Все","Итого:",$C$4),'План продаж'!$L$5:$P$66,MATCH(Расчёт.ПрибылиПоПодразделениям!$B49,'План продаж'!$B$5:$B$66,0),0),0)</f>
        <v>2805000</v>
      </c>
      <c r="G49" s="67">
        <f t="shared" si="3"/>
        <v>-1116550.0000000005</v>
      </c>
      <c r="H49" s="67">
        <f>IFERROR(HLOOKUP(IF($C$4="Все","Итого:",$C$4),'План продаж'!$Q$5:$U$66,MATCH(Расчёт.ПрибылиПоПодразделениям!$B49,'План продаж'!$B$5:$B$66,0),0),0)</f>
        <v>1688449.9999999995</v>
      </c>
      <c r="I49" s="67">
        <f>-(HLOOKUP(IF($C$4="Все","Итого:",$C$4),'Расчёт.Постоянные расходы'!$B$5:$I$129,MATCH(Расчёт.ПрибылиПоПодразделениям!$B49,'Расчёт.Постоянные расходы'!$B$5:$B$130,0),0))</f>
        <v>-560000</v>
      </c>
      <c r="J49" s="67">
        <f>-(HLOOKUP(IF($C$4="Все","Итого:",$C$4),Персонал!$Q$4:$V$129,MATCH(Расчёт.ПрибылиПоПодразделениям!$B49,Персонал!$O$4:$O$129,0),0))</f>
        <v>-604500</v>
      </c>
      <c r="K49" s="67">
        <f>-SUMIFS(Инвестиции!$M$13:$M$20,Инвестиции!$B$13:$B$20,Расчёт.ПрибылиПоПодразделениям!$D49)</f>
        <v>-84761.516666666677</v>
      </c>
      <c r="L49" s="67">
        <f t="shared" si="4"/>
        <v>439188.48333333287</v>
      </c>
      <c r="M49" s="67">
        <f>-IF($C$4="Все",SUMIFS('Заёмные средства'!$P:$P,'Заёмные средства'!$F:$F,Расчёт.ПрибылиПоПодразделениям!$B49),0)</f>
        <v>0</v>
      </c>
      <c r="N49" s="67">
        <f>IF(IF(Персонал!Y46&gt;(-L49*0.15),(-L49*0.15)+Персонал!Y46*0.5,(-L49*0.15)+Персонал!Y46)&gt;0,-F49*0.01,IF(Персонал!Y46&gt;(-L49*0.15),(-L49*0.15)+Персонал!Y46*0.5,(-L49*0.15)+Персонал!Y46))</f>
        <v>-28050</v>
      </c>
    </row>
    <row r="50" spans="2:14" x14ac:dyDescent="0.25">
      <c r="B50" s="67">
        <f t="shared" si="6"/>
        <v>43</v>
      </c>
      <c r="C50" s="67">
        <f t="shared" si="5"/>
        <v>9</v>
      </c>
      <c r="D50" s="67">
        <f t="shared" si="0"/>
        <v>2021</v>
      </c>
      <c r="E50" s="122">
        <f t="shared" si="1"/>
        <v>44469</v>
      </c>
      <c r="F50" s="67">
        <f>IFERROR(HLOOKUP(IF($C$4="Все","Итого:",$C$4),'План продаж'!$L$5:$P$66,MATCH(Расчёт.ПрибылиПоПодразделениям!$B50,'План продаж'!$B$5:$B$66,0),0),0)</f>
        <v>2805000</v>
      </c>
      <c r="G50" s="67">
        <f t="shared" si="3"/>
        <v>-1116550.0000000005</v>
      </c>
      <c r="H50" s="67">
        <f>IFERROR(HLOOKUP(IF($C$4="Все","Итого:",$C$4),'План продаж'!$Q$5:$U$66,MATCH(Расчёт.ПрибылиПоПодразделениям!$B50,'План продаж'!$B$5:$B$66,0),0),0)</f>
        <v>1688449.9999999995</v>
      </c>
      <c r="I50" s="67">
        <f>-(HLOOKUP(IF($C$4="Все","Итого:",$C$4),'Расчёт.Постоянные расходы'!$B$5:$I$129,MATCH(Расчёт.ПрибылиПоПодразделениям!$B50,'Расчёт.Постоянные расходы'!$B$5:$B$130,0),0))</f>
        <v>-560000</v>
      </c>
      <c r="J50" s="67">
        <f>-(HLOOKUP(IF($C$4="Все","Итого:",$C$4),Персонал!$Q$4:$V$129,MATCH(Расчёт.ПрибылиПоПодразделениям!$B50,Персонал!$O$4:$O$129,0),0))</f>
        <v>-604500</v>
      </c>
      <c r="K50" s="67">
        <f>-SUMIFS(Инвестиции!$M$13:$M$20,Инвестиции!$B$13:$B$20,Расчёт.ПрибылиПоПодразделениям!$D50)</f>
        <v>-84761.516666666677</v>
      </c>
      <c r="L50" s="67">
        <f t="shared" si="4"/>
        <v>439188.48333333287</v>
      </c>
      <c r="M50" s="67">
        <f>-IF($C$4="Все",SUMIFS('Заёмные средства'!$P:$P,'Заёмные средства'!$F:$F,Расчёт.ПрибылиПоПодразделениям!$B50),0)</f>
        <v>0</v>
      </c>
      <c r="N50" s="67">
        <f>IF(IF(Персонал!Y47&gt;(-L50*0.15),(-L50*0.15)+Персонал!Y47*0.5,(-L50*0.15)+Персонал!Y47)&gt;0,-F50*0.01,IF(Персонал!Y47&gt;(-L50*0.15),(-L50*0.15)+Персонал!Y47*0.5,(-L50*0.15)+Персонал!Y47))</f>
        <v>-28050</v>
      </c>
    </row>
    <row r="51" spans="2:14" x14ac:dyDescent="0.25">
      <c r="B51" s="67">
        <f t="shared" si="6"/>
        <v>44</v>
      </c>
      <c r="C51" s="67">
        <f t="shared" si="5"/>
        <v>10</v>
      </c>
      <c r="D51" s="67">
        <f t="shared" si="0"/>
        <v>2021</v>
      </c>
      <c r="E51" s="122">
        <f t="shared" si="1"/>
        <v>44500</v>
      </c>
      <c r="F51" s="67">
        <f>IFERROR(HLOOKUP(IF($C$4="Все","Итого:",$C$4),'План продаж'!$L$5:$P$66,MATCH(Расчёт.ПрибылиПоПодразделениям!$B51,'План продаж'!$B$5:$B$66,0),0),0)</f>
        <v>3740000</v>
      </c>
      <c r="G51" s="67">
        <f t="shared" si="3"/>
        <v>-1488733.333333334</v>
      </c>
      <c r="H51" s="67">
        <f>IFERROR(HLOOKUP(IF($C$4="Все","Итого:",$C$4),'План продаж'!$Q$5:$U$66,MATCH(Расчёт.ПрибылиПоПодразделениям!$B51,'План продаж'!$B$5:$B$66,0),0),0)</f>
        <v>2251266.666666666</v>
      </c>
      <c r="I51" s="67">
        <f>-(HLOOKUP(IF($C$4="Все","Итого:",$C$4),'Расчёт.Постоянные расходы'!$B$5:$I$129,MATCH(Расчёт.ПрибылиПоПодразделениям!$B51,'Расчёт.Постоянные расходы'!$B$5:$B$130,0),0))</f>
        <v>-560000</v>
      </c>
      <c r="J51" s="67">
        <f>-(HLOOKUP(IF($C$4="Все","Итого:",$C$4),Персонал!$Q$4:$V$129,MATCH(Расчёт.ПрибылиПоПодразделениям!$B51,Персонал!$O$4:$O$129,0),0))</f>
        <v>-604500</v>
      </c>
      <c r="K51" s="67">
        <f>-SUMIFS(Инвестиции!$M$13:$M$20,Инвестиции!$B$13:$B$20,Расчёт.ПрибылиПоПодразделениям!$D51)</f>
        <v>-84761.516666666677</v>
      </c>
      <c r="L51" s="67">
        <f t="shared" si="4"/>
        <v>1002005.1499999993</v>
      </c>
      <c r="M51" s="67">
        <f>-IF($C$4="Все",SUMIFS('Заёмные средства'!$P:$P,'Заёмные средства'!$F:$F,Расчёт.ПрибылиПоПодразделениям!$B51),0)</f>
        <v>0</v>
      </c>
      <c r="N51" s="67">
        <f>IF(IF(Персонал!Y48&gt;(-L51*0.15),(-L51*0.15)+Персонал!Y48*0.5,(-L51*0.15)+Персонал!Y48)&gt;0,-F51*0.01,IF(Персонал!Y48&gt;(-L51*0.15),(-L51*0.15)+Персонал!Y48*0.5,(-L51*0.15)+Персонал!Y48))</f>
        <v>-80550.772499999905</v>
      </c>
    </row>
    <row r="52" spans="2:14" x14ac:dyDescent="0.25">
      <c r="B52" s="67">
        <f t="shared" si="6"/>
        <v>45</v>
      </c>
      <c r="C52" s="67">
        <f t="shared" si="5"/>
        <v>11</v>
      </c>
      <c r="D52" s="67">
        <f t="shared" si="0"/>
        <v>2021</v>
      </c>
      <c r="E52" s="122">
        <f t="shared" si="1"/>
        <v>44530</v>
      </c>
      <c r="F52" s="67">
        <f>IFERROR(HLOOKUP(IF($C$4="Все","Итого:",$C$4),'План продаж'!$L$5:$P$66,MATCH(Расчёт.ПрибылиПоПодразделениям!$B52,'План продаж'!$B$5:$B$66,0),0),0)</f>
        <v>3740000</v>
      </c>
      <c r="G52" s="67">
        <f t="shared" si="3"/>
        <v>-1488733.333333334</v>
      </c>
      <c r="H52" s="67">
        <f>IFERROR(HLOOKUP(IF($C$4="Все","Итого:",$C$4),'План продаж'!$Q$5:$U$66,MATCH(Расчёт.ПрибылиПоПодразделениям!$B52,'План продаж'!$B$5:$B$66,0),0),0)</f>
        <v>2251266.666666666</v>
      </c>
      <c r="I52" s="67">
        <f>-(HLOOKUP(IF($C$4="Все","Итого:",$C$4),'Расчёт.Постоянные расходы'!$B$5:$I$129,MATCH(Расчёт.ПрибылиПоПодразделениям!$B52,'Расчёт.Постоянные расходы'!$B$5:$B$130,0),0))</f>
        <v>-560000</v>
      </c>
      <c r="J52" s="67">
        <f>-(HLOOKUP(IF($C$4="Все","Итого:",$C$4),Персонал!$Q$4:$V$129,MATCH(Расчёт.ПрибылиПоПодразделениям!$B52,Персонал!$O$4:$O$129,0),0))</f>
        <v>-604500</v>
      </c>
      <c r="K52" s="67">
        <f>-SUMIFS(Инвестиции!$M$13:$M$20,Инвестиции!$B$13:$B$20,Расчёт.ПрибылиПоПодразделениям!$D52)</f>
        <v>-84761.516666666677</v>
      </c>
      <c r="L52" s="67">
        <f t="shared" si="4"/>
        <v>1002005.1499999993</v>
      </c>
      <c r="M52" s="67">
        <f>-IF($C$4="Все",SUMIFS('Заёмные средства'!$P:$P,'Заёмные средства'!$F:$F,Расчёт.ПрибылиПоПодразделениям!$B52),0)</f>
        <v>0</v>
      </c>
      <c r="N52" s="67">
        <f>IF(IF(Персонал!Y49&gt;(-L52*0.15),(-L52*0.15)+Персонал!Y49*0.5,(-L52*0.15)+Персонал!Y49)&gt;0,-F52*0.01,IF(Персонал!Y49&gt;(-L52*0.15),(-L52*0.15)+Персонал!Y49*0.5,(-L52*0.15)+Персонал!Y49))</f>
        <v>-80550.772499999905</v>
      </c>
    </row>
    <row r="53" spans="2:14" x14ac:dyDescent="0.25">
      <c r="B53" s="67">
        <f t="shared" si="6"/>
        <v>46</v>
      </c>
      <c r="C53" s="67">
        <f t="shared" si="5"/>
        <v>12</v>
      </c>
      <c r="D53" s="67">
        <f t="shared" si="0"/>
        <v>2021</v>
      </c>
      <c r="E53" s="122">
        <f t="shared" si="1"/>
        <v>44561</v>
      </c>
      <c r="F53" s="67">
        <f>IFERROR(HLOOKUP(IF($C$4="Все","Итого:",$C$4),'План продаж'!$L$5:$P$66,MATCH(Расчёт.ПрибылиПоПодразделениям!$B53,'План продаж'!$B$5:$B$66,0),0),0)</f>
        <v>3740000</v>
      </c>
      <c r="G53" s="67">
        <f t="shared" si="3"/>
        <v>-1488733.333333334</v>
      </c>
      <c r="H53" s="67">
        <f>IFERROR(HLOOKUP(IF($C$4="Все","Итого:",$C$4),'План продаж'!$Q$5:$U$66,MATCH(Расчёт.ПрибылиПоПодразделениям!$B53,'План продаж'!$B$5:$B$66,0),0),0)</f>
        <v>2251266.666666666</v>
      </c>
      <c r="I53" s="67">
        <f>-(HLOOKUP(IF($C$4="Все","Итого:",$C$4),'Расчёт.Постоянные расходы'!$B$5:$I$129,MATCH(Расчёт.ПрибылиПоПодразделениям!$B53,'Расчёт.Постоянные расходы'!$B$5:$B$130,0),0))</f>
        <v>-560000</v>
      </c>
      <c r="J53" s="67">
        <f>-(HLOOKUP(IF($C$4="Все","Итого:",$C$4),Персонал!$Q$4:$V$129,MATCH(Расчёт.ПрибылиПоПодразделениям!$B53,Персонал!$O$4:$O$129,0),0))</f>
        <v>-604500</v>
      </c>
      <c r="K53" s="67">
        <f>-SUMIFS(Инвестиции!$M$13:$M$20,Инвестиции!$B$13:$B$20,Расчёт.ПрибылиПоПодразделениям!$D53)</f>
        <v>-84761.516666666677</v>
      </c>
      <c r="L53" s="67">
        <f t="shared" si="4"/>
        <v>1002005.1499999993</v>
      </c>
      <c r="M53" s="67">
        <f>-IF($C$4="Все",SUMIFS('Заёмные средства'!$P:$P,'Заёмные средства'!$F:$F,Расчёт.ПрибылиПоПодразделениям!$B53),0)</f>
        <v>0</v>
      </c>
      <c r="N53" s="67">
        <f>IF(IF(Персонал!Y50&gt;(-L53*0.15),(-L53*0.15)+Персонал!Y50*0.5,(-L53*0.15)+Персонал!Y50)&gt;0,-F53*0.01,IF(Персонал!Y50&gt;(-L53*0.15),(-L53*0.15)+Персонал!Y50*0.5,(-L53*0.15)+Персонал!Y50))</f>
        <v>-80550.772499999905</v>
      </c>
    </row>
    <row r="54" spans="2:14" x14ac:dyDescent="0.25">
      <c r="B54" s="67">
        <f t="shared" si="6"/>
        <v>47</v>
      </c>
      <c r="C54" s="67">
        <f t="shared" si="5"/>
        <v>1</v>
      </c>
      <c r="D54" s="67">
        <f t="shared" si="0"/>
        <v>2022</v>
      </c>
      <c r="E54" s="122">
        <f t="shared" si="1"/>
        <v>44592</v>
      </c>
      <c r="F54" s="67">
        <f>IFERROR(HLOOKUP(IF($C$4="Все","Итого:",$C$4),'План продаж'!$L$5:$P$66,MATCH(Расчёт.ПрибылиПоПодразделениям!$B54,'План продаж'!$B$5:$B$66,0),0),0)</f>
        <v>3740000</v>
      </c>
      <c r="G54" s="67">
        <f t="shared" si="3"/>
        <v>-1488733.333333334</v>
      </c>
      <c r="H54" s="67">
        <f>IFERROR(HLOOKUP(IF($C$4="Все","Итого:",$C$4),'План продаж'!$Q$5:$U$66,MATCH(Расчёт.ПрибылиПоПодразделениям!$B54,'План продаж'!$B$5:$B$66,0),0),0)</f>
        <v>2251266.666666666</v>
      </c>
      <c r="I54" s="67">
        <f>-(HLOOKUP(IF($C$4="Все","Итого:",$C$4),'Расчёт.Постоянные расходы'!$B$5:$I$129,MATCH(Расчёт.ПрибылиПоПодразделениям!$B54,'Расчёт.Постоянные расходы'!$B$5:$B$130,0),0))</f>
        <v>-560000</v>
      </c>
      <c r="J54" s="67">
        <f>-(HLOOKUP(IF($C$4="Все","Итого:",$C$4),Персонал!$Q$4:$V$129,MATCH(Расчёт.ПрибылиПоПодразделениям!$B54,Персонал!$O$4:$O$129,0),0))</f>
        <v>-604500</v>
      </c>
      <c r="K54" s="67">
        <f>-SUMIFS(Инвестиции!$M$13:$M$20,Инвестиции!$B$13:$B$20,Расчёт.ПрибылиПоПодразделениям!$D54)</f>
        <v>-84761.516666666663</v>
      </c>
      <c r="L54" s="67">
        <f t="shared" si="4"/>
        <v>1002005.1499999994</v>
      </c>
      <c r="M54" s="67">
        <f>-IF($C$4="Все",SUMIFS('Заёмные средства'!$P:$P,'Заёмные средства'!$F:$F,Расчёт.ПрибылиПоПодразделениям!$B54),0)</f>
        <v>0</v>
      </c>
      <c r="N54" s="67">
        <f>IF(IF(Персонал!Y51&gt;(-L54*0.15),(-L54*0.15)+Персонал!Y51*0.5,(-L54*0.15)+Персонал!Y51)&gt;0,-F54*0.01,IF(Персонал!Y51&gt;(-L54*0.15),(-L54*0.15)+Персонал!Y51*0.5,(-L54*0.15)+Персонал!Y51))</f>
        <v>-80550.772499999905</v>
      </c>
    </row>
    <row r="55" spans="2:14" x14ac:dyDescent="0.25">
      <c r="B55" s="67">
        <f t="shared" si="6"/>
        <v>48</v>
      </c>
      <c r="C55" s="67">
        <f t="shared" si="5"/>
        <v>2</v>
      </c>
      <c r="D55" s="67">
        <f t="shared" si="0"/>
        <v>2022</v>
      </c>
      <c r="E55" s="122">
        <f t="shared" si="1"/>
        <v>44620</v>
      </c>
      <c r="F55" s="67">
        <f>IFERROR(HLOOKUP(IF($C$4="Все","Итого:",$C$4),'План продаж'!$L$5:$P$66,MATCH(Расчёт.ПрибылиПоПодразделениям!$B55,'План продаж'!$B$5:$B$66,0),0),0)</f>
        <v>3740000</v>
      </c>
      <c r="G55" s="67">
        <f t="shared" si="3"/>
        <v>-1488733.333333334</v>
      </c>
      <c r="H55" s="67">
        <f>IFERROR(HLOOKUP(IF($C$4="Все","Итого:",$C$4),'План продаж'!$Q$5:$U$66,MATCH(Расчёт.ПрибылиПоПодразделениям!$B55,'План продаж'!$B$5:$B$66,0),0),0)</f>
        <v>2251266.666666666</v>
      </c>
      <c r="I55" s="67">
        <f>-(HLOOKUP(IF($C$4="Все","Итого:",$C$4),'Расчёт.Постоянные расходы'!$B$5:$I$129,MATCH(Расчёт.ПрибылиПоПодразделениям!$B55,'Расчёт.Постоянные расходы'!$B$5:$B$130,0),0))</f>
        <v>-560000</v>
      </c>
      <c r="J55" s="67">
        <f>-(HLOOKUP(IF($C$4="Все","Итого:",$C$4),Персонал!$Q$4:$V$129,MATCH(Расчёт.ПрибылиПоПодразделениям!$B55,Персонал!$O$4:$O$129,0),0))</f>
        <v>-604500</v>
      </c>
      <c r="K55" s="67">
        <f>-SUMIFS(Инвестиции!$M$13:$M$20,Инвестиции!$B$13:$B$20,Расчёт.ПрибылиПоПодразделениям!$D55)</f>
        <v>-84761.516666666663</v>
      </c>
      <c r="L55" s="67">
        <f t="shared" si="4"/>
        <v>1002005.1499999994</v>
      </c>
      <c r="M55" s="67">
        <f>-IF($C$4="Все",SUMIFS('Заёмные средства'!$P:$P,'Заёмные средства'!$F:$F,Расчёт.ПрибылиПоПодразделениям!$B55),0)</f>
        <v>0</v>
      </c>
      <c r="N55" s="67">
        <f>IF(IF(Персонал!Y52&gt;(-L55*0.15),(-L55*0.15)+Персонал!Y52*0.5,(-L55*0.15)+Персонал!Y52)&gt;0,-F55*0.01,IF(Персонал!Y52&gt;(-L55*0.15),(-L55*0.15)+Персонал!Y52*0.5,(-L55*0.15)+Персонал!Y52))</f>
        <v>-80550.772499999905</v>
      </c>
    </row>
    <row r="56" spans="2:14" x14ac:dyDescent="0.25">
      <c r="B56" s="67">
        <f t="shared" si="6"/>
        <v>49</v>
      </c>
      <c r="C56" s="67">
        <f t="shared" si="5"/>
        <v>3</v>
      </c>
      <c r="D56" s="67">
        <f t="shared" si="0"/>
        <v>2022</v>
      </c>
      <c r="E56" s="122">
        <f t="shared" si="1"/>
        <v>44651</v>
      </c>
      <c r="F56" s="67">
        <f>IFERROR(HLOOKUP(IF($C$4="Все","Итого:",$C$4),'План продаж'!$L$5:$P$66,MATCH(Расчёт.ПрибылиПоПодразделениям!$B56,'План продаж'!$B$5:$B$66,0),0),0)</f>
        <v>3740000</v>
      </c>
      <c r="G56" s="67">
        <f t="shared" si="3"/>
        <v>-1488733.333333334</v>
      </c>
      <c r="H56" s="67">
        <f>IFERROR(HLOOKUP(IF($C$4="Все","Итого:",$C$4),'План продаж'!$Q$5:$U$66,MATCH(Расчёт.ПрибылиПоПодразделениям!$B56,'План продаж'!$B$5:$B$66,0),0),0)</f>
        <v>2251266.666666666</v>
      </c>
      <c r="I56" s="67">
        <f>-(HLOOKUP(IF($C$4="Все","Итого:",$C$4),'Расчёт.Постоянные расходы'!$B$5:$I$129,MATCH(Расчёт.ПрибылиПоПодразделениям!$B56,'Расчёт.Постоянные расходы'!$B$5:$B$130,0),0))</f>
        <v>-560000</v>
      </c>
      <c r="J56" s="67">
        <f>-(HLOOKUP(IF($C$4="Все","Итого:",$C$4),Персонал!$Q$4:$V$129,MATCH(Расчёт.ПрибылиПоПодразделениям!$B56,Персонал!$O$4:$O$129,0),0))</f>
        <v>-604500</v>
      </c>
      <c r="K56" s="67">
        <f>-SUMIFS(Инвестиции!$M$13:$M$20,Инвестиции!$B$13:$B$20,Расчёт.ПрибылиПоПодразделениям!$D56)</f>
        <v>-84761.516666666663</v>
      </c>
      <c r="L56" s="67">
        <f t="shared" si="4"/>
        <v>1002005.1499999994</v>
      </c>
      <c r="M56" s="67">
        <f>-IF($C$4="Все",SUMIFS('Заёмные средства'!$P:$P,'Заёмные средства'!$F:$F,Расчёт.ПрибылиПоПодразделениям!$B56),0)</f>
        <v>0</v>
      </c>
      <c r="N56" s="67">
        <f>IF(IF(Персонал!Y53&gt;(-L56*0.15),(-L56*0.15)+Персонал!Y53*0.5,(-L56*0.15)+Персонал!Y53)&gt;0,-F56*0.01,IF(Персонал!Y53&gt;(-L56*0.15),(-L56*0.15)+Персонал!Y53*0.5,(-L56*0.15)+Персонал!Y53))</f>
        <v>-80550.772499999905</v>
      </c>
    </row>
    <row r="57" spans="2:14" x14ac:dyDescent="0.25">
      <c r="B57" s="67">
        <f t="shared" si="6"/>
        <v>50</v>
      </c>
      <c r="C57" s="67">
        <f t="shared" si="5"/>
        <v>4</v>
      </c>
      <c r="D57" s="67">
        <f t="shared" si="0"/>
        <v>2022</v>
      </c>
      <c r="E57" s="122">
        <f t="shared" si="1"/>
        <v>44681</v>
      </c>
      <c r="F57" s="67">
        <f>IFERROR(HLOOKUP(IF($C$4="Все","Итого:",$C$4),'План продаж'!$L$5:$P$66,MATCH(Расчёт.ПрибылиПоПодразделениям!$B57,'План продаж'!$B$5:$B$66,0),0),0)</f>
        <v>3740000</v>
      </c>
      <c r="G57" s="67">
        <f t="shared" si="3"/>
        <v>-1488733.333333334</v>
      </c>
      <c r="H57" s="67">
        <f>IFERROR(HLOOKUP(IF($C$4="Все","Итого:",$C$4),'План продаж'!$Q$5:$U$66,MATCH(Расчёт.ПрибылиПоПодразделениям!$B57,'План продаж'!$B$5:$B$66,0),0),0)</f>
        <v>2251266.666666666</v>
      </c>
      <c r="I57" s="67">
        <f>-(HLOOKUP(IF($C$4="Все","Итого:",$C$4),'Расчёт.Постоянные расходы'!$B$5:$I$129,MATCH(Расчёт.ПрибылиПоПодразделениям!$B57,'Расчёт.Постоянные расходы'!$B$5:$B$130,0),0))</f>
        <v>-560000</v>
      </c>
      <c r="J57" s="67">
        <f>-(HLOOKUP(IF($C$4="Все","Итого:",$C$4),Персонал!$Q$4:$V$129,MATCH(Расчёт.ПрибылиПоПодразделениям!$B57,Персонал!$O$4:$O$129,0),0))</f>
        <v>-604500</v>
      </c>
      <c r="K57" s="67">
        <f>-SUMIFS(Инвестиции!$M$13:$M$20,Инвестиции!$B$13:$B$20,Расчёт.ПрибылиПоПодразделениям!$D57)</f>
        <v>-84761.516666666663</v>
      </c>
      <c r="L57" s="67">
        <f t="shared" si="4"/>
        <v>1002005.1499999994</v>
      </c>
      <c r="M57" s="67">
        <f>-IF($C$4="Все",SUMIFS('Заёмные средства'!$P:$P,'Заёмные средства'!$F:$F,Расчёт.ПрибылиПоПодразделениям!$B57),0)</f>
        <v>0</v>
      </c>
      <c r="N57" s="67">
        <f>IF(IF(Персонал!Y54&gt;(-L57*0.15),(-L57*0.15)+Персонал!Y54*0.5,(-L57*0.15)+Персонал!Y54)&gt;0,-F57*0.01,IF(Персонал!Y54&gt;(-L57*0.15),(-L57*0.15)+Персонал!Y54*0.5,(-L57*0.15)+Персонал!Y54))</f>
        <v>-80550.772499999905</v>
      </c>
    </row>
    <row r="58" spans="2:14" x14ac:dyDescent="0.25">
      <c r="B58" s="67">
        <f t="shared" si="6"/>
        <v>51</v>
      </c>
      <c r="C58" s="67">
        <f t="shared" si="5"/>
        <v>5</v>
      </c>
      <c r="D58" s="67">
        <f t="shared" si="0"/>
        <v>2022</v>
      </c>
      <c r="E58" s="122">
        <f t="shared" si="1"/>
        <v>44712</v>
      </c>
      <c r="F58" s="67">
        <f>IFERROR(HLOOKUP(IF($C$4="Все","Итого:",$C$4),'План продаж'!$L$5:$P$66,MATCH(Расчёт.ПрибылиПоПодразделениям!$B58,'План продаж'!$B$5:$B$66,0),0),0)</f>
        <v>2805000</v>
      </c>
      <c r="G58" s="67">
        <f t="shared" si="3"/>
        <v>-1116550.0000000005</v>
      </c>
      <c r="H58" s="67">
        <f>IFERROR(HLOOKUP(IF($C$4="Все","Итого:",$C$4),'План продаж'!$Q$5:$U$66,MATCH(Расчёт.ПрибылиПоПодразделениям!$B58,'План продаж'!$B$5:$B$66,0),0),0)</f>
        <v>1688449.9999999995</v>
      </c>
      <c r="I58" s="67">
        <f>-(HLOOKUP(IF($C$4="Все","Итого:",$C$4),'Расчёт.Постоянные расходы'!$B$5:$I$129,MATCH(Расчёт.ПрибылиПоПодразделениям!$B58,'Расчёт.Постоянные расходы'!$B$5:$B$130,0),0))</f>
        <v>-560000</v>
      </c>
      <c r="J58" s="67">
        <f>-(HLOOKUP(IF($C$4="Все","Итого:",$C$4),Персонал!$Q$4:$V$129,MATCH(Расчёт.ПрибылиПоПодразделениям!$B58,Персонал!$O$4:$O$129,0),0))</f>
        <v>-604500</v>
      </c>
      <c r="K58" s="67">
        <f>-SUMIFS(Инвестиции!$M$13:$M$20,Инвестиции!$B$13:$B$20,Расчёт.ПрибылиПоПодразделениям!$D58)</f>
        <v>-84761.516666666663</v>
      </c>
      <c r="L58" s="67">
        <f t="shared" si="4"/>
        <v>439188.48333333287</v>
      </c>
      <c r="M58" s="67">
        <f>-IF($C$4="Все",SUMIFS('Заёмные средства'!$P:$P,'Заёмные средства'!$F:$F,Расчёт.ПрибылиПоПодразделениям!$B58),0)</f>
        <v>0</v>
      </c>
      <c r="N58" s="67">
        <f>IF(IF(Персонал!Y55&gt;(-L58*0.15),(-L58*0.15)+Персонал!Y55*0.5,(-L58*0.15)+Персонал!Y55)&gt;0,-F58*0.01,IF(Персонал!Y55&gt;(-L58*0.15),(-L58*0.15)+Персонал!Y55*0.5,(-L58*0.15)+Персонал!Y55))</f>
        <v>-28050</v>
      </c>
    </row>
    <row r="59" spans="2:14" x14ac:dyDescent="0.25">
      <c r="B59" s="67">
        <f t="shared" si="6"/>
        <v>52</v>
      </c>
      <c r="C59" s="67">
        <f t="shared" si="5"/>
        <v>6</v>
      </c>
      <c r="D59" s="67">
        <f t="shared" si="0"/>
        <v>2022</v>
      </c>
      <c r="E59" s="122">
        <f t="shared" si="1"/>
        <v>44742</v>
      </c>
      <c r="F59" s="67">
        <f>IFERROR(HLOOKUP(IF($C$4="Все","Итого:",$C$4),'План продаж'!$L$5:$P$66,MATCH(Расчёт.ПрибылиПоПодразделениям!$B59,'План продаж'!$B$5:$B$66,0),0),0)</f>
        <v>2805000</v>
      </c>
      <c r="G59" s="67">
        <f t="shared" si="3"/>
        <v>-1116550.0000000005</v>
      </c>
      <c r="H59" s="67">
        <f>IFERROR(HLOOKUP(IF($C$4="Все","Итого:",$C$4),'План продаж'!$Q$5:$U$66,MATCH(Расчёт.ПрибылиПоПодразделениям!$B59,'План продаж'!$B$5:$B$66,0),0),0)</f>
        <v>1688449.9999999995</v>
      </c>
      <c r="I59" s="67">
        <f>-(HLOOKUP(IF($C$4="Все","Итого:",$C$4),'Расчёт.Постоянные расходы'!$B$5:$I$129,MATCH(Расчёт.ПрибылиПоПодразделениям!$B59,'Расчёт.Постоянные расходы'!$B$5:$B$130,0),0))</f>
        <v>-560000</v>
      </c>
      <c r="J59" s="67">
        <f>-(HLOOKUP(IF($C$4="Все","Итого:",$C$4),Персонал!$Q$4:$V$129,MATCH(Расчёт.ПрибылиПоПодразделениям!$B59,Персонал!$O$4:$O$129,0),0))</f>
        <v>-604500</v>
      </c>
      <c r="K59" s="67">
        <f>-SUMIFS(Инвестиции!$M$13:$M$20,Инвестиции!$B$13:$B$20,Расчёт.ПрибылиПоПодразделениям!$D59)</f>
        <v>-84761.516666666663</v>
      </c>
      <c r="L59" s="67">
        <f t="shared" si="4"/>
        <v>439188.48333333287</v>
      </c>
      <c r="M59" s="67">
        <f>-IF($C$4="Все",SUMIFS('Заёмные средства'!$P:$P,'Заёмные средства'!$F:$F,Расчёт.ПрибылиПоПодразделениям!$B59),0)</f>
        <v>0</v>
      </c>
      <c r="N59" s="67">
        <f>IF(IF(Персонал!Y56&gt;(-L59*0.15),(-L59*0.15)+Персонал!Y56*0.5,(-L59*0.15)+Персонал!Y56)&gt;0,-F59*0.01,IF(Персонал!Y56&gt;(-L59*0.15),(-L59*0.15)+Персонал!Y56*0.5,(-L59*0.15)+Персонал!Y56))</f>
        <v>-28050</v>
      </c>
    </row>
    <row r="60" spans="2:14" x14ac:dyDescent="0.25">
      <c r="B60" s="67">
        <f t="shared" si="6"/>
        <v>53</v>
      </c>
      <c r="C60" s="67">
        <f t="shared" si="5"/>
        <v>7</v>
      </c>
      <c r="D60" s="67">
        <f t="shared" si="0"/>
        <v>2022</v>
      </c>
      <c r="E60" s="122">
        <f t="shared" si="1"/>
        <v>44773</v>
      </c>
      <c r="F60" s="67">
        <f>IFERROR(HLOOKUP(IF($C$4="Все","Итого:",$C$4),'План продаж'!$L$5:$P$66,MATCH(Расчёт.ПрибылиПоПодразделениям!$B60,'План продаж'!$B$5:$B$66,0),0),0)</f>
        <v>2805000</v>
      </c>
      <c r="G60" s="67">
        <f t="shared" si="3"/>
        <v>-1116550.0000000005</v>
      </c>
      <c r="H60" s="67">
        <f>IFERROR(HLOOKUP(IF($C$4="Все","Итого:",$C$4),'План продаж'!$Q$5:$U$66,MATCH(Расчёт.ПрибылиПоПодразделениям!$B60,'План продаж'!$B$5:$B$66,0),0),0)</f>
        <v>1688449.9999999995</v>
      </c>
      <c r="I60" s="67">
        <f>-(HLOOKUP(IF($C$4="Все","Итого:",$C$4),'Расчёт.Постоянные расходы'!$B$5:$I$129,MATCH(Расчёт.ПрибылиПоПодразделениям!$B60,'Расчёт.Постоянные расходы'!$B$5:$B$130,0),0))</f>
        <v>-560000</v>
      </c>
      <c r="J60" s="67">
        <f>-(HLOOKUP(IF($C$4="Все","Итого:",$C$4),Персонал!$Q$4:$V$129,MATCH(Расчёт.ПрибылиПоПодразделениям!$B60,Персонал!$O$4:$O$129,0),0))</f>
        <v>-604500</v>
      </c>
      <c r="K60" s="67">
        <f>-SUMIFS(Инвестиции!$M$13:$M$20,Инвестиции!$B$13:$B$20,Расчёт.ПрибылиПоПодразделениям!$D60)</f>
        <v>-84761.516666666663</v>
      </c>
      <c r="L60" s="67">
        <f t="shared" si="4"/>
        <v>439188.48333333287</v>
      </c>
      <c r="M60" s="67">
        <f>-IF($C$4="Все",SUMIFS('Заёмные средства'!$P:$P,'Заёмные средства'!$F:$F,Расчёт.ПрибылиПоПодразделениям!$B60),0)</f>
        <v>0</v>
      </c>
      <c r="N60" s="67">
        <f>IF(IF(Персонал!Y57&gt;(-L60*0.15),(-L60*0.15)+Персонал!Y57*0.5,(-L60*0.15)+Персонал!Y57)&gt;0,-F60*0.01,IF(Персонал!Y57&gt;(-L60*0.15),(-L60*0.15)+Персонал!Y57*0.5,(-L60*0.15)+Персонал!Y57))</f>
        <v>-28050</v>
      </c>
    </row>
    <row r="61" spans="2:14" x14ac:dyDescent="0.25">
      <c r="B61" s="67">
        <f t="shared" si="6"/>
        <v>54</v>
      </c>
      <c r="C61" s="67">
        <f t="shared" si="5"/>
        <v>8</v>
      </c>
      <c r="D61" s="67">
        <f t="shared" si="0"/>
        <v>2022</v>
      </c>
      <c r="E61" s="122">
        <f t="shared" si="1"/>
        <v>44804</v>
      </c>
      <c r="F61" s="67">
        <f>IFERROR(HLOOKUP(IF($C$4="Все","Итого:",$C$4),'План продаж'!$L$5:$P$66,MATCH(Расчёт.ПрибылиПоПодразделениям!$B61,'План продаж'!$B$5:$B$66,0),0),0)</f>
        <v>2805000</v>
      </c>
      <c r="G61" s="67">
        <f t="shared" si="3"/>
        <v>-1116550.0000000005</v>
      </c>
      <c r="H61" s="67">
        <f>IFERROR(HLOOKUP(IF($C$4="Все","Итого:",$C$4),'План продаж'!$Q$5:$U$66,MATCH(Расчёт.ПрибылиПоПодразделениям!$B61,'План продаж'!$B$5:$B$66,0),0),0)</f>
        <v>1688449.9999999995</v>
      </c>
      <c r="I61" s="67">
        <f>-(HLOOKUP(IF($C$4="Все","Итого:",$C$4),'Расчёт.Постоянные расходы'!$B$5:$I$129,MATCH(Расчёт.ПрибылиПоПодразделениям!$B61,'Расчёт.Постоянные расходы'!$B$5:$B$130,0),0))</f>
        <v>-560000</v>
      </c>
      <c r="J61" s="67">
        <f>-(HLOOKUP(IF($C$4="Все","Итого:",$C$4),Персонал!$Q$4:$V$129,MATCH(Расчёт.ПрибылиПоПодразделениям!$B61,Персонал!$O$4:$O$129,0),0))</f>
        <v>-604500</v>
      </c>
      <c r="K61" s="67">
        <f>-SUMIFS(Инвестиции!$M$13:$M$20,Инвестиции!$B$13:$B$20,Расчёт.ПрибылиПоПодразделениям!$D61)</f>
        <v>-84761.516666666663</v>
      </c>
      <c r="L61" s="67">
        <f t="shared" si="4"/>
        <v>439188.48333333287</v>
      </c>
      <c r="M61" s="67">
        <f>-IF($C$4="Все",SUMIFS('Заёмные средства'!$P:$P,'Заёмные средства'!$F:$F,Расчёт.ПрибылиПоПодразделениям!$B61),0)</f>
        <v>0</v>
      </c>
      <c r="N61" s="67">
        <f>IF(IF(Персонал!Y58&gt;(-L61*0.15),(-L61*0.15)+Персонал!Y58*0.5,(-L61*0.15)+Персонал!Y58)&gt;0,-F61*0.01,IF(Персонал!Y58&gt;(-L61*0.15),(-L61*0.15)+Персонал!Y58*0.5,(-L61*0.15)+Персонал!Y58))</f>
        <v>-28050</v>
      </c>
    </row>
    <row r="62" spans="2:14" x14ac:dyDescent="0.25">
      <c r="B62" s="67">
        <f t="shared" si="6"/>
        <v>55</v>
      </c>
      <c r="C62" s="67">
        <f t="shared" si="5"/>
        <v>9</v>
      </c>
      <c r="D62" s="67">
        <f t="shared" si="0"/>
        <v>2022</v>
      </c>
      <c r="E62" s="122">
        <f t="shared" si="1"/>
        <v>44834</v>
      </c>
      <c r="F62" s="67">
        <f>IFERROR(HLOOKUP(IF($C$4="Все","Итого:",$C$4),'План продаж'!$L$5:$P$66,MATCH(Расчёт.ПрибылиПоПодразделениям!$B62,'План продаж'!$B$5:$B$66,0),0),0)</f>
        <v>2805000</v>
      </c>
      <c r="G62" s="67">
        <f t="shared" si="3"/>
        <v>-1116550.0000000005</v>
      </c>
      <c r="H62" s="67">
        <f>IFERROR(HLOOKUP(IF($C$4="Все","Итого:",$C$4),'План продаж'!$Q$5:$U$66,MATCH(Расчёт.ПрибылиПоПодразделениям!$B62,'План продаж'!$B$5:$B$66,0),0),0)</f>
        <v>1688449.9999999995</v>
      </c>
      <c r="I62" s="67">
        <f>-(HLOOKUP(IF($C$4="Все","Итого:",$C$4),'Расчёт.Постоянные расходы'!$B$5:$I$129,MATCH(Расчёт.ПрибылиПоПодразделениям!$B62,'Расчёт.Постоянные расходы'!$B$5:$B$130,0),0))</f>
        <v>-560000</v>
      </c>
      <c r="J62" s="67">
        <f>-(HLOOKUP(IF($C$4="Все","Итого:",$C$4),Персонал!$Q$4:$V$129,MATCH(Расчёт.ПрибылиПоПодразделениям!$B62,Персонал!$O$4:$O$129,0),0))</f>
        <v>-604500</v>
      </c>
      <c r="K62" s="67">
        <f>-SUMIFS(Инвестиции!$M$13:$M$20,Инвестиции!$B$13:$B$20,Расчёт.ПрибылиПоПодразделениям!$D62)</f>
        <v>-84761.516666666663</v>
      </c>
      <c r="L62" s="67">
        <f t="shared" si="4"/>
        <v>439188.48333333287</v>
      </c>
      <c r="M62" s="67">
        <f>-IF($C$4="Все",SUMIFS('Заёмные средства'!$P:$P,'Заёмные средства'!$F:$F,Расчёт.ПрибылиПоПодразделениям!$B62),0)</f>
        <v>0</v>
      </c>
      <c r="N62" s="67">
        <f>IF(IF(Персонал!Y59&gt;(-L62*0.15),(-L62*0.15)+Персонал!Y59*0.5,(-L62*0.15)+Персонал!Y59)&gt;0,-F62*0.01,IF(Персонал!Y59&gt;(-L62*0.15),(-L62*0.15)+Персонал!Y59*0.5,(-L62*0.15)+Персонал!Y59))</f>
        <v>-28050</v>
      </c>
    </row>
    <row r="63" spans="2:14" x14ac:dyDescent="0.25">
      <c r="B63" s="67">
        <f t="shared" si="6"/>
        <v>56</v>
      </c>
      <c r="C63" s="67">
        <f t="shared" si="5"/>
        <v>10</v>
      </c>
      <c r="D63" s="67">
        <f t="shared" si="0"/>
        <v>2022</v>
      </c>
      <c r="E63" s="122">
        <f t="shared" si="1"/>
        <v>44865</v>
      </c>
      <c r="F63" s="67">
        <f>IFERROR(HLOOKUP(IF($C$4="Все","Итого:",$C$4),'План продаж'!$L$5:$P$66,MATCH(Расчёт.ПрибылиПоПодразделениям!$B63,'План продаж'!$B$5:$B$66,0),0),0)</f>
        <v>3740000</v>
      </c>
      <c r="G63" s="67">
        <f t="shared" si="3"/>
        <v>-1488733.333333334</v>
      </c>
      <c r="H63" s="67">
        <f>IFERROR(HLOOKUP(IF($C$4="Все","Итого:",$C$4),'План продаж'!$Q$5:$U$66,MATCH(Расчёт.ПрибылиПоПодразделениям!$B63,'План продаж'!$B$5:$B$66,0),0),0)</f>
        <v>2251266.666666666</v>
      </c>
      <c r="I63" s="67">
        <f>-(HLOOKUP(IF($C$4="Все","Итого:",$C$4),'Расчёт.Постоянные расходы'!$B$5:$I$129,MATCH(Расчёт.ПрибылиПоПодразделениям!$B63,'Расчёт.Постоянные расходы'!$B$5:$B$130,0),0))</f>
        <v>-560000</v>
      </c>
      <c r="J63" s="67">
        <f>-(HLOOKUP(IF($C$4="Все","Итого:",$C$4),Персонал!$Q$4:$V$129,MATCH(Расчёт.ПрибылиПоПодразделениям!$B63,Персонал!$O$4:$O$129,0),0))</f>
        <v>-604500</v>
      </c>
      <c r="K63" s="67">
        <f>-SUMIFS(Инвестиции!$M$13:$M$20,Инвестиции!$B$13:$B$20,Расчёт.ПрибылиПоПодразделениям!$D63)</f>
        <v>-84761.516666666663</v>
      </c>
      <c r="L63" s="67">
        <f t="shared" si="4"/>
        <v>1002005.1499999994</v>
      </c>
      <c r="M63" s="67">
        <f>-IF($C$4="Все",SUMIFS('Заёмные средства'!$P:$P,'Заёмные средства'!$F:$F,Расчёт.ПрибылиПоПодразделениям!$B63),0)</f>
        <v>0</v>
      </c>
      <c r="N63" s="67">
        <f>IF(IF(Персонал!Y60&gt;(-L63*0.15),(-L63*0.15)+Персонал!Y60*0.5,(-L63*0.15)+Персонал!Y60)&gt;0,-F63*0.01,IF(Персонал!Y60&gt;(-L63*0.15),(-L63*0.15)+Персонал!Y60*0.5,(-L63*0.15)+Персонал!Y60))</f>
        <v>-80550.772499999905</v>
      </c>
    </row>
    <row r="64" spans="2:14" x14ac:dyDescent="0.25">
      <c r="B64" s="67">
        <f t="shared" si="6"/>
        <v>57</v>
      </c>
      <c r="C64" s="67">
        <f t="shared" si="5"/>
        <v>11</v>
      </c>
      <c r="D64" s="67">
        <f t="shared" si="0"/>
        <v>2022</v>
      </c>
      <c r="E64" s="122">
        <f t="shared" si="1"/>
        <v>44895</v>
      </c>
      <c r="F64" s="67">
        <f>IFERROR(HLOOKUP(IF($C$4="Все","Итого:",$C$4),'План продаж'!$L$5:$P$66,MATCH(Расчёт.ПрибылиПоПодразделениям!$B64,'План продаж'!$B$5:$B$66,0),0),0)</f>
        <v>3740000</v>
      </c>
      <c r="G64" s="67">
        <f t="shared" si="3"/>
        <v>-1488733.333333334</v>
      </c>
      <c r="H64" s="67">
        <f>IFERROR(HLOOKUP(IF($C$4="Все","Итого:",$C$4),'План продаж'!$Q$5:$U$66,MATCH(Расчёт.ПрибылиПоПодразделениям!$B64,'План продаж'!$B$5:$B$66,0),0),0)</f>
        <v>2251266.666666666</v>
      </c>
      <c r="I64" s="67">
        <f>-(HLOOKUP(IF($C$4="Все","Итого:",$C$4),'Расчёт.Постоянные расходы'!$B$5:$I$129,MATCH(Расчёт.ПрибылиПоПодразделениям!$B64,'Расчёт.Постоянные расходы'!$B$5:$B$130,0),0))</f>
        <v>-560000</v>
      </c>
      <c r="J64" s="67">
        <f>-(HLOOKUP(IF($C$4="Все","Итого:",$C$4),Персонал!$Q$4:$V$129,MATCH(Расчёт.ПрибылиПоПодразделениям!$B64,Персонал!$O$4:$O$129,0),0))</f>
        <v>-604500</v>
      </c>
      <c r="K64" s="67">
        <f>-SUMIFS(Инвестиции!$M$13:$M$20,Инвестиции!$B$13:$B$20,Расчёт.ПрибылиПоПодразделениям!$D64)</f>
        <v>-84761.516666666663</v>
      </c>
      <c r="L64" s="67">
        <f t="shared" si="4"/>
        <v>1002005.1499999994</v>
      </c>
      <c r="M64" s="67">
        <f>-IF($C$4="Все",SUMIFS('Заёмные средства'!$P:$P,'Заёмные средства'!$F:$F,Расчёт.ПрибылиПоПодразделениям!$B64),0)</f>
        <v>0</v>
      </c>
      <c r="N64" s="67">
        <f>IF(IF(Персонал!Y61&gt;(-L64*0.15),(-L64*0.15)+Персонал!Y61*0.5,(-L64*0.15)+Персонал!Y61)&gt;0,-F64*0.01,IF(Персонал!Y61&gt;(-L64*0.15),(-L64*0.15)+Персонал!Y61*0.5,(-L64*0.15)+Персонал!Y61))</f>
        <v>-80550.772499999905</v>
      </c>
    </row>
    <row r="65" spans="2:14" x14ac:dyDescent="0.25">
      <c r="B65" s="67">
        <f t="shared" si="6"/>
        <v>58</v>
      </c>
      <c r="C65" s="67">
        <f t="shared" si="5"/>
        <v>12</v>
      </c>
      <c r="D65" s="67">
        <f t="shared" si="0"/>
        <v>2022</v>
      </c>
      <c r="E65" s="122">
        <f t="shared" si="1"/>
        <v>44926</v>
      </c>
      <c r="F65" s="67">
        <f>IFERROR(HLOOKUP(IF($C$4="Все","Итого:",$C$4),'План продаж'!$L$5:$P$66,MATCH(Расчёт.ПрибылиПоПодразделениям!$B65,'План продаж'!$B$5:$B$66,0),0),0)</f>
        <v>3740000</v>
      </c>
      <c r="G65" s="67">
        <f t="shared" si="3"/>
        <v>-1488733.333333334</v>
      </c>
      <c r="H65" s="67">
        <f>IFERROR(HLOOKUP(IF($C$4="Все","Итого:",$C$4),'План продаж'!$Q$5:$U$66,MATCH(Расчёт.ПрибылиПоПодразделениям!$B65,'План продаж'!$B$5:$B$66,0),0),0)</f>
        <v>2251266.666666666</v>
      </c>
      <c r="I65" s="67">
        <f>-(HLOOKUP(IF($C$4="Все","Итого:",$C$4),'Расчёт.Постоянные расходы'!$B$5:$I$129,MATCH(Расчёт.ПрибылиПоПодразделениям!$B65,'Расчёт.Постоянные расходы'!$B$5:$B$130,0),0))</f>
        <v>-560000</v>
      </c>
      <c r="J65" s="67">
        <f>-(HLOOKUP(IF($C$4="Все","Итого:",$C$4),Персонал!$Q$4:$V$129,MATCH(Расчёт.ПрибылиПоПодразделениям!$B65,Персонал!$O$4:$O$129,0),0))</f>
        <v>-604500</v>
      </c>
      <c r="K65" s="67">
        <f>-SUMIFS(Инвестиции!$M$13:$M$20,Инвестиции!$B$13:$B$20,Расчёт.ПрибылиПоПодразделениям!$D65)</f>
        <v>-84761.516666666663</v>
      </c>
      <c r="L65" s="67">
        <f t="shared" si="4"/>
        <v>1002005.1499999994</v>
      </c>
      <c r="M65" s="67">
        <f>-IF($C$4="Все",SUMIFS('Заёмные средства'!$P:$P,'Заёмные средства'!$F:$F,Расчёт.ПрибылиПоПодразделениям!$B65),0)</f>
        <v>0</v>
      </c>
      <c r="N65" s="67">
        <f>IF(IF(Персонал!Y62&gt;(-L65*0.15),(-L65*0.15)+Персонал!Y62*0.5,(-L65*0.15)+Персонал!Y62)&gt;0,-F65*0.01,IF(Персонал!Y62&gt;(-L65*0.15),(-L65*0.15)+Персонал!Y62*0.5,(-L65*0.15)+Персонал!Y62))</f>
        <v>-80550.772499999905</v>
      </c>
    </row>
    <row r="66" spans="2:14" x14ac:dyDescent="0.25">
      <c r="B66" s="67">
        <f t="shared" si="6"/>
        <v>59</v>
      </c>
      <c r="C66" s="67">
        <f t="shared" si="5"/>
        <v>1</v>
      </c>
      <c r="D66" s="67">
        <f t="shared" si="0"/>
        <v>2023</v>
      </c>
      <c r="E66" s="122">
        <f t="shared" si="1"/>
        <v>44957</v>
      </c>
      <c r="F66" s="67">
        <f>IFERROR(HLOOKUP(IF($C$4="Все","Итого:",$C$4),'План продаж'!$L$5:$P$66,MATCH(Расчёт.ПрибылиПоПодразделениям!$B66,'План продаж'!$B$5:$B$66,0),0),0)</f>
        <v>3740000</v>
      </c>
      <c r="G66" s="67">
        <f t="shared" si="3"/>
        <v>-1488733.333333334</v>
      </c>
      <c r="H66" s="67">
        <f>IFERROR(HLOOKUP(IF($C$4="Все","Итого:",$C$4),'План продаж'!$Q$5:$U$66,MATCH(Расчёт.ПрибылиПоПодразделениям!$B66,'План продаж'!$B$5:$B$66,0),0),0)</f>
        <v>2251266.666666666</v>
      </c>
      <c r="I66" s="67">
        <f>-(HLOOKUP(IF($C$4="Все","Итого:",$C$4),'Расчёт.Постоянные расходы'!$B$5:$I$129,MATCH(Расчёт.ПрибылиПоПодразделениям!$B66,'Расчёт.Постоянные расходы'!$B$5:$B$130,0),0))</f>
        <v>-560000</v>
      </c>
      <c r="J66" s="67">
        <f>-(HLOOKUP(IF($C$4="Все","Итого:",$C$4),Персонал!$Q$4:$V$129,MATCH(Расчёт.ПрибылиПоПодразделениям!$B66,Персонал!$O$4:$O$129,0),0))</f>
        <v>-604500</v>
      </c>
      <c r="K66" s="67">
        <f>-SUMIFS(Инвестиции!$M$13:$M$20,Инвестиции!$B$13:$B$20,Расчёт.ПрибылиПоПодразделениям!$D66)</f>
        <v>-84761.516666666488</v>
      </c>
      <c r="L66" s="67">
        <f t="shared" si="4"/>
        <v>1002005.1499999996</v>
      </c>
      <c r="M66" s="67">
        <f>-IF($C$4="Все",SUMIFS('Заёмные средства'!$P:$P,'Заёмные средства'!$F:$F,Расчёт.ПрибылиПоПодразделениям!$B66),0)</f>
        <v>0</v>
      </c>
      <c r="N66" s="67">
        <f>IF(IF(Персонал!Y63&gt;(-L66*0.15),(-L66*0.15)+Персонал!Y63*0.5,(-L66*0.15)+Персонал!Y63)&gt;0,-F66*0.01,IF(Персонал!Y63&gt;(-L66*0.15),(-L66*0.15)+Персонал!Y63*0.5,(-L66*0.15)+Персонал!Y63))</f>
        <v>-80550.772499999934</v>
      </c>
    </row>
    <row r="67" spans="2:14" x14ac:dyDescent="0.25">
      <c r="B67" s="67">
        <f t="shared" si="6"/>
        <v>60</v>
      </c>
      <c r="C67" s="67">
        <f t="shared" si="5"/>
        <v>2</v>
      </c>
      <c r="D67" s="67">
        <f t="shared" si="0"/>
        <v>2023</v>
      </c>
      <c r="E67" s="122">
        <f t="shared" si="1"/>
        <v>44985</v>
      </c>
      <c r="F67" s="67">
        <f>IFERROR(HLOOKUP(IF($C$4="Все","Итого:",$C$4),'План продаж'!$L$5:$P$66,MATCH(Расчёт.ПрибылиПоПодразделениям!$B67,'План продаж'!$B$5:$B$66,0),0),0)</f>
        <v>3740000</v>
      </c>
      <c r="G67" s="67">
        <f t="shared" si="3"/>
        <v>-1488733.333333334</v>
      </c>
      <c r="H67" s="67">
        <f>IFERROR(HLOOKUP(IF($C$4="Все","Итого:",$C$4),'План продаж'!$Q$5:$U$66,MATCH(Расчёт.ПрибылиПоПодразделениям!$B67,'План продаж'!$B$5:$B$66,0),0),0)</f>
        <v>2251266.666666666</v>
      </c>
      <c r="I67" s="67">
        <f>-(HLOOKUP(IF($C$4="Все","Итого:",$C$4),'Расчёт.Постоянные расходы'!$B$5:$I$129,MATCH(Расчёт.ПрибылиПоПодразделениям!$B67,'Расчёт.Постоянные расходы'!$B$5:$B$130,0),0))</f>
        <v>-560000</v>
      </c>
      <c r="J67" s="67">
        <f>-(HLOOKUP(IF($C$4="Все","Итого:",$C$4),Персонал!$Q$4:$V$129,MATCH(Расчёт.ПрибылиПоПодразделениям!$B67,Персонал!$O$4:$O$129,0),0))</f>
        <v>-604500</v>
      </c>
      <c r="K67" s="67">
        <f>-SUMIFS(Инвестиции!$M$13:$M$20,Инвестиции!$B$13:$B$20,Расчёт.ПрибылиПоПодразделениям!$D67)</f>
        <v>-84761.516666666488</v>
      </c>
      <c r="L67" s="67">
        <f t="shared" si="4"/>
        <v>1002005.1499999996</v>
      </c>
      <c r="M67" s="67">
        <f>-IF($C$4="Все",SUMIFS('Заёмные средства'!$P:$P,'Заёмные средства'!$F:$F,Расчёт.ПрибылиПоПодразделениям!$B67),0)</f>
        <v>0</v>
      </c>
      <c r="N67" s="67">
        <f>IF(IF(Персонал!Y64&gt;(-L67*0.15),(-L67*0.15)+Персонал!Y64*0.5,(-L67*0.15)+Персонал!Y64)&gt;0,-F67*0.01,IF(Персонал!Y64&gt;(-L67*0.15),(-L67*0.15)+Персонал!Y64*0.5,(-L67*0.15)+Персонал!Y64))</f>
        <v>-80550.772499999934</v>
      </c>
    </row>
  </sheetData>
  <mergeCells count="1">
    <mergeCell ref="P7:P17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FB1F-1CC7-41CA-B611-E4974249FF15}">
  <sheetPr>
    <tabColor theme="5" tint="0.59999389629810485"/>
  </sheetPr>
  <dimension ref="B1:X68"/>
  <sheetViews>
    <sheetView workbookViewId="0">
      <selection activeCell="F4" sqref="F4"/>
    </sheetView>
  </sheetViews>
  <sheetFormatPr defaultRowHeight="15" x14ac:dyDescent="0.25"/>
  <cols>
    <col min="1" max="1" width="9.140625" style="1"/>
    <col min="2" max="2" width="27.28515625" style="1" bestFit="1" customWidth="1"/>
    <col min="3" max="4" width="9.28515625" style="1" bestFit="1" customWidth="1"/>
    <col min="5" max="5" width="10.28515625" style="110" bestFit="1" customWidth="1"/>
    <col min="6" max="6" width="16.5703125" style="1" bestFit="1" customWidth="1"/>
    <col min="7" max="7" width="17.5703125" style="1" customWidth="1"/>
    <col min="8" max="8" width="18.7109375" style="1" customWidth="1"/>
    <col min="9" max="9" width="14.42578125" style="1" customWidth="1"/>
    <col min="10" max="11" width="16.5703125" style="1" customWidth="1"/>
    <col min="12" max="12" width="9.140625" style="1"/>
    <col min="13" max="13" width="19.5703125" style="1" bestFit="1" customWidth="1"/>
    <col min="14" max="14" width="20" style="1" bestFit="1" customWidth="1"/>
    <col min="15" max="15" width="23.28515625" style="1" bestFit="1" customWidth="1"/>
    <col min="16" max="16" width="40.5703125" style="1" bestFit="1" customWidth="1"/>
    <col min="17" max="17" width="36.42578125" style="1" bestFit="1" customWidth="1"/>
    <col min="18" max="18" width="23.28515625" style="1" bestFit="1" customWidth="1"/>
    <col min="19" max="19" width="40.5703125" style="1" bestFit="1" customWidth="1"/>
    <col min="20" max="20" width="24.7109375" style="1" bestFit="1" customWidth="1"/>
    <col min="21" max="21" width="28" style="1" bestFit="1" customWidth="1"/>
    <col min="22" max="22" width="45.28515625" style="1" bestFit="1" customWidth="1"/>
    <col min="23" max="23" width="28" style="1" bestFit="1" customWidth="1"/>
    <col min="24" max="16384" width="9.140625" style="1"/>
  </cols>
  <sheetData>
    <row r="1" spans="2:24" ht="21" x14ac:dyDescent="0.35">
      <c r="B1" s="43" t="s">
        <v>335</v>
      </c>
    </row>
    <row r="2" spans="2:24" ht="12" customHeight="1" x14ac:dyDescent="0.35">
      <c r="B2" s="95"/>
      <c r="C2" s="95"/>
      <c r="D2" s="95"/>
      <c r="E2" s="121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2:24" ht="12" customHeight="1" x14ac:dyDescent="0.25">
      <c r="E3" s="1"/>
    </row>
    <row r="4" spans="2:24" ht="12" customHeight="1" x14ac:dyDescent="0.25">
      <c r="B4" s="1" t="s">
        <v>218</v>
      </c>
      <c r="C4" s="213" t="str">
        <f>Прибыль!$C$4</f>
        <v>Все</v>
      </c>
      <c r="E4" s="1"/>
    </row>
    <row r="5" spans="2:24" ht="12" customHeight="1" x14ac:dyDescent="0.25">
      <c r="E5" s="1"/>
    </row>
    <row r="6" spans="2:24" ht="15.75" thickBot="1" x14ac:dyDescent="0.3"/>
    <row r="7" spans="2:24" ht="29.25" customHeight="1" thickTop="1" thickBot="1" x14ac:dyDescent="0.3">
      <c r="B7" s="154" t="s">
        <v>45</v>
      </c>
      <c r="C7" s="154" t="s">
        <v>7</v>
      </c>
      <c r="D7" s="154" t="s">
        <v>46</v>
      </c>
      <c r="E7" s="144" t="s">
        <v>47</v>
      </c>
      <c r="F7" s="154" t="s">
        <v>59</v>
      </c>
      <c r="G7" s="154" t="s">
        <v>58</v>
      </c>
      <c r="H7" s="154" t="s">
        <v>324</v>
      </c>
      <c r="I7" s="154" t="s">
        <v>56</v>
      </c>
      <c r="J7" s="154"/>
      <c r="K7" s="154" t="s">
        <v>85</v>
      </c>
    </row>
    <row r="8" spans="2:24" ht="15.75" thickTop="1" x14ac:dyDescent="0.25">
      <c r="B8" s="67">
        <v>0</v>
      </c>
      <c r="C8" s="67">
        <f>Настройки!$I$9</f>
        <v>2</v>
      </c>
      <c r="D8" s="67">
        <f t="shared" ref="D8:D68" si="0">YEAR(E8)</f>
        <v>2018</v>
      </c>
      <c r="E8" s="122">
        <f t="shared" ref="E8:E68" si="1">EOMONTH(ДатаНачала,B8)</f>
        <v>43159</v>
      </c>
      <c r="F8" s="67">
        <f>IF(C3="Все",-SUMIFS('Постоянные затраты'!$H:$H,'Постоянные затраты'!$G:$G,"&lt;="&amp;$B8,'Постоянные затраты'!$B:$B,РасшифровкаЗатрат!F$7),-SUMIFS('Постоянные затраты'!$H:$H,'Постоянные затраты'!$G:$G,"&lt;="&amp;$B8,'Постоянные затраты'!$D:$D,$C$4,'Постоянные затраты'!$B:$B,РасшифровкаЗатрат!F$7))</f>
        <v>0</v>
      </c>
      <c r="G8" s="67">
        <f>IF(D3="Все",-SUMIFS('Постоянные затраты'!$H:$H,'Постоянные затраты'!$G:$G,"&lt;="&amp;$B8,'Постоянные затраты'!$B:$B,РасшифровкаЗатрат!G$7),-SUMIFS('Постоянные затраты'!$H:$H,'Постоянные затраты'!$G:$G,"&lt;="&amp;$B8,'Постоянные затраты'!$D:$D,$C$4,'Постоянные затраты'!$B:$B,РасшифровкаЗатрат!G$7))</f>
        <v>0</v>
      </c>
      <c r="H8" s="67">
        <f>IF(E3="Все",-SUMIFS('Постоянные затраты'!$H:$H,'Постоянные затраты'!$G:$G,"&lt;="&amp;$B8,'Постоянные затраты'!$B:$B,РасшифровкаЗатрат!H$7),-SUMIFS('Постоянные затраты'!$H:$H,'Постоянные затраты'!$G:$G,"&lt;="&amp;$B8,'Постоянные затраты'!$D:$D,$C$4,'Постоянные затраты'!$B:$B,РасшифровкаЗатрат!H$7))</f>
        <v>0</v>
      </c>
      <c r="I8" s="67">
        <f>IF(F3="Все",-SUMIFS('Постоянные затраты'!$H:$H,'Постоянные затраты'!$G:$G,"&lt;="&amp;$B8,'Постоянные затраты'!$B:$B,РасшифровкаЗатрат!I$7),-SUMIFS('Постоянные затраты'!$H:$H,'Постоянные затраты'!$G:$G,"&lt;="&amp;$B8,'Постоянные затраты'!$D:$D,$C$4,'Постоянные затраты'!$B:$B,РасшифровкаЗатрат!I$7))</f>
        <v>0</v>
      </c>
      <c r="J8" s="67"/>
      <c r="K8" s="67">
        <f>SUM(F8:J8)</f>
        <v>0</v>
      </c>
      <c r="M8" s="211" t="s">
        <v>139</v>
      </c>
      <c r="N8" s="212" t="s">
        <v>337</v>
      </c>
      <c r="O8" s="212" t="s">
        <v>338</v>
      </c>
      <c r="P8" s="212" t="s">
        <v>339</v>
      </c>
      <c r="Q8" s="212" t="s">
        <v>340</v>
      </c>
    </row>
    <row r="9" spans="2:24" x14ac:dyDescent="0.25">
      <c r="B9" s="67">
        <f t="shared" ref="B9:C24" si="2">B8+1</f>
        <v>1</v>
      </c>
      <c r="C9" s="67">
        <f t="shared" si="2"/>
        <v>3</v>
      </c>
      <c r="D9" s="67">
        <f t="shared" si="0"/>
        <v>2018</v>
      </c>
      <c r="E9" s="122">
        <f t="shared" si="1"/>
        <v>43190</v>
      </c>
      <c r="F9" s="67">
        <f>IF(C4="Все",-SUMIFS('Постоянные затраты'!$H:$H,'Постоянные затраты'!$G:$G,"&lt;="&amp;$B9,'Постоянные затраты'!$B:$B,РасшифровкаЗатрат!F$7),-SUMIFS('Постоянные затраты'!$H:$H,'Постоянные затраты'!$G:$G,"&lt;="&amp;$B9,'Постоянные затраты'!$D:$D,$C$4,'Постоянные затраты'!$B:$B,РасшифровкаЗатрат!F$7))</f>
        <v>-251000</v>
      </c>
      <c r="G9" s="67">
        <f>IF(D4="Все",-SUMIFS('Постоянные затраты'!$H:$H,'Постоянные затраты'!$G:$G,"&lt;="&amp;$B9,'Постоянные затраты'!$B:$B,РасшифровкаЗатрат!G$7),-SUMIFS('Постоянные затраты'!$H:$H,'Постоянные затраты'!$G:$G,"&lt;="&amp;$B9,'Постоянные затраты'!$D:$D,$C$4,'Постоянные затраты'!$B:$B,РасшифровкаЗатрат!G$7))</f>
        <v>0</v>
      </c>
      <c r="H9" s="67">
        <f>IF(E4="Все",-SUMIFS('Постоянные затраты'!$H:$H,'Постоянные затраты'!$G:$G,"&lt;="&amp;$B9,'Постоянные затраты'!$B:$B,РасшифровкаЗатрат!H$7),-SUMIFS('Постоянные затраты'!$H:$H,'Постоянные затраты'!$G:$G,"&lt;="&amp;$B9,'Постоянные затраты'!$D:$D,$C$4,'Постоянные затраты'!$B:$B,РасшифровкаЗатрат!H$7))</f>
        <v>0</v>
      </c>
      <c r="I9" s="67">
        <f>IF(F4="Все",-SUMIFS('Постоянные затраты'!$H:$H,'Постоянные затраты'!$G:$G,"&lt;="&amp;$B9,'Постоянные затраты'!$B:$B,РасшифровкаЗатрат!I$7),-SUMIFS('Постоянные затраты'!$H:$H,'Постоянные затраты'!$G:$G,"&lt;="&amp;$B9,'Постоянные затраты'!$D:$D,$C$4,'Постоянные затраты'!$B:$B,РасшифровкаЗатрат!I$7))</f>
        <v>0</v>
      </c>
      <c r="J9" s="67">
        <f>-IF($C$4="Все",SUMIFS('Заёмные средства'!$P:$P,'Заёмные средства'!$F:$F,РасшифровкаЗатрат!$B9),0)</f>
        <v>-68750</v>
      </c>
      <c r="K9" s="67">
        <f t="shared" ref="K9:K68" si="3">SUM(F9:J9)</f>
        <v>-319750</v>
      </c>
      <c r="M9" s="210">
        <v>2018</v>
      </c>
      <c r="N9" s="165">
        <v>-700000</v>
      </c>
      <c r="O9" s="165">
        <v>-750000</v>
      </c>
      <c r="P9" s="165">
        <v>-50000</v>
      </c>
      <c r="Q9" s="165">
        <v>-50000</v>
      </c>
    </row>
    <row r="10" spans="2:24" x14ac:dyDescent="0.25">
      <c r="B10" s="67">
        <f t="shared" si="2"/>
        <v>2</v>
      </c>
      <c r="C10" s="67">
        <f t="shared" si="2"/>
        <v>4</v>
      </c>
      <c r="D10" s="67">
        <f t="shared" si="0"/>
        <v>2018</v>
      </c>
      <c r="E10" s="122">
        <f t="shared" si="1"/>
        <v>43220</v>
      </c>
      <c r="F10" s="67">
        <f>IF(C5="Все",-SUMIFS('Постоянные затраты'!$H:$H,'Постоянные затраты'!$G:$G,"&lt;="&amp;$B10,'Постоянные затраты'!$B:$B,РасшифровкаЗатрат!F$7),-SUMIFS('Постоянные затраты'!$H:$H,'Постоянные затраты'!$G:$G,"&lt;="&amp;$B10,'Постоянные затраты'!$D:$D,$C$4,'Постоянные затраты'!$B:$B,РасшифровкаЗатрат!F$7))</f>
        <v>0</v>
      </c>
      <c r="G10" s="67">
        <f>IF(D5="Все",-SUMIFS('Постоянные затраты'!$H:$H,'Постоянные затраты'!$G:$G,"&lt;="&amp;$B10,'Постоянные затраты'!$B:$B,РасшифровкаЗатрат!G$7),-SUMIFS('Постоянные затраты'!$H:$H,'Постоянные затраты'!$G:$G,"&lt;="&amp;$B10,'Постоянные затраты'!$D:$D,$C$4,'Постоянные затраты'!$B:$B,РасшифровкаЗатрат!G$7))</f>
        <v>0</v>
      </c>
      <c r="H10" s="67">
        <f>IF(E5="Все",-SUMIFS('Постоянные затраты'!$H:$H,'Постоянные затраты'!$G:$G,"&lt;="&amp;$B10,'Постоянные затраты'!$B:$B,РасшифровкаЗатрат!H$7),-SUMIFS('Постоянные затраты'!$H:$H,'Постоянные затраты'!$G:$G,"&lt;="&amp;$B10,'Постоянные затраты'!$D:$D,$C$4,'Постоянные затраты'!$B:$B,РасшифровкаЗатрат!H$7))</f>
        <v>0</v>
      </c>
      <c r="I10" s="67">
        <f>IF(F5="Все",-SUMIFS('Постоянные затраты'!$H:$H,'Постоянные затраты'!$G:$G,"&lt;="&amp;$B10,'Постоянные затраты'!$B:$B,РасшифровкаЗатрат!I$7),-SUMIFS('Постоянные затраты'!$H:$H,'Постоянные затраты'!$G:$G,"&lt;="&amp;$B10,'Постоянные затраты'!$D:$D,$C$4,'Постоянные затраты'!$B:$B,РасшифровкаЗатрат!I$7))</f>
        <v>0</v>
      </c>
      <c r="J10" s="67">
        <f>-IF($C$4="Все",SUMIFS('Заёмные средства'!$P:$P,'Заёмные средства'!$F:$F,РасшифровкаЗатрат!$B10),0)</f>
        <v>-66840.277777777766</v>
      </c>
      <c r="K10" s="67">
        <f t="shared" si="3"/>
        <v>-66840.277777777766</v>
      </c>
      <c r="M10" s="210">
        <v>2019</v>
      </c>
      <c r="N10" s="165">
        <v>-840000</v>
      </c>
      <c r="O10" s="165">
        <v>-900000</v>
      </c>
      <c r="P10" s="165">
        <v>-60000</v>
      </c>
      <c r="Q10" s="165">
        <v>-60000</v>
      </c>
    </row>
    <row r="11" spans="2:24" x14ac:dyDescent="0.25">
      <c r="B11" s="67">
        <f t="shared" si="2"/>
        <v>3</v>
      </c>
      <c r="C11" s="67">
        <f t="shared" si="2"/>
        <v>5</v>
      </c>
      <c r="D11" s="67">
        <f t="shared" si="0"/>
        <v>2018</v>
      </c>
      <c r="E11" s="122">
        <f t="shared" si="1"/>
        <v>43251</v>
      </c>
      <c r="F11" s="67">
        <f>IF(C6="Все",-SUMIFS('Постоянные затраты'!$H:$H,'Постоянные затраты'!$G:$G,"&lt;="&amp;$B11,'Постоянные затраты'!$B:$B,РасшифровкаЗатрат!F$7),-SUMIFS('Постоянные затраты'!$H:$H,'Постоянные затраты'!$G:$G,"&lt;="&amp;$B11,'Постоянные затраты'!$D:$D,$C$4,'Постоянные затраты'!$B:$B,РасшифровкаЗатрат!F$7))</f>
        <v>0</v>
      </c>
      <c r="G11" s="67">
        <f>IF(D6="Все",-SUMIFS('Постоянные затраты'!$H:$H,'Постоянные затраты'!$G:$G,"&lt;="&amp;$B11,'Постоянные затраты'!$B:$B,РасшифровкаЗатрат!G$7),-SUMIFS('Постоянные затраты'!$H:$H,'Постоянные затраты'!$G:$G,"&lt;="&amp;$B11,'Постоянные затраты'!$D:$D,$C$4,'Постоянные затраты'!$B:$B,РасшифровкаЗатрат!G$7))</f>
        <v>0</v>
      </c>
      <c r="H11" s="67">
        <f>IF(E6="Все",-SUMIFS('Постоянные затраты'!$H:$H,'Постоянные затраты'!$G:$G,"&lt;="&amp;$B11,'Постоянные затраты'!$B:$B,РасшифровкаЗатрат!H$7),-SUMIFS('Постоянные затраты'!$H:$H,'Постоянные затраты'!$G:$G,"&lt;="&amp;$B11,'Постоянные затраты'!$D:$D,$C$4,'Постоянные затраты'!$B:$B,РасшифровкаЗатрат!H$7))</f>
        <v>0</v>
      </c>
      <c r="I11" s="67">
        <f>IF(F6="Все",-SUMIFS('Постоянные затраты'!$H:$H,'Постоянные затраты'!$G:$G,"&lt;="&amp;$B11,'Постоянные затраты'!$B:$B,РасшифровкаЗатрат!I$7),-SUMIFS('Постоянные затраты'!$H:$H,'Постоянные затраты'!$G:$G,"&lt;="&amp;$B11,'Постоянные затраты'!$D:$D,$C$4,'Постоянные затраты'!$B:$B,РасшифровкаЗатрат!I$7))</f>
        <v>0</v>
      </c>
      <c r="J11" s="67">
        <f>-IF($C$4="Все",SUMIFS('Заёмные средства'!$P:$P,'Заёмные средства'!$F:$F,РасшифровкаЗатрат!$B11),0)</f>
        <v>-64930.555555555547</v>
      </c>
      <c r="K11" s="67">
        <f t="shared" si="3"/>
        <v>-64930.555555555547</v>
      </c>
      <c r="M11" s="210">
        <v>2020</v>
      </c>
      <c r="N11" s="165">
        <v>-840000</v>
      </c>
      <c r="O11" s="165">
        <v>-900000</v>
      </c>
      <c r="P11" s="165">
        <v>-60000</v>
      </c>
      <c r="Q11" s="165">
        <v>-60000</v>
      </c>
    </row>
    <row r="12" spans="2:24" x14ac:dyDescent="0.25">
      <c r="B12" s="67">
        <f t="shared" si="2"/>
        <v>4</v>
      </c>
      <c r="C12" s="67">
        <f t="shared" si="2"/>
        <v>6</v>
      </c>
      <c r="D12" s="67">
        <f t="shared" si="0"/>
        <v>2018</v>
      </c>
      <c r="E12" s="122">
        <f t="shared" si="1"/>
        <v>43281</v>
      </c>
      <c r="F12" s="67">
        <f>IF(C7="Все",-SUMIFS('Постоянные затраты'!$H:$H,'Постоянные затраты'!$G:$G,"&lt;="&amp;$B12,'Постоянные затраты'!$B:$B,РасшифровкаЗатрат!F$7),-SUMIFS('Постоянные затраты'!$H:$H,'Постоянные затраты'!$G:$G,"&lt;="&amp;$B12,'Постоянные затраты'!$D:$D,$C$4,'Постоянные затраты'!$B:$B,РасшифровкаЗатрат!F$7))</f>
        <v>0</v>
      </c>
      <c r="G12" s="67">
        <f>IF(D7="Все",-SUMIFS('Постоянные затраты'!$H:$H,'Постоянные затраты'!$G:$G,"&lt;="&amp;$B12,'Постоянные затраты'!$B:$B,РасшифровкаЗатрат!G$7),-SUMIFS('Постоянные затраты'!$H:$H,'Постоянные затраты'!$G:$G,"&lt;="&amp;$B12,'Постоянные затраты'!$D:$D,$C$4,'Постоянные затраты'!$B:$B,РасшифровкаЗатрат!G$7))</f>
        <v>0</v>
      </c>
      <c r="H12" s="67">
        <f>IF(E7="Все",-SUMIFS('Постоянные затраты'!$H:$H,'Постоянные затраты'!$G:$G,"&lt;="&amp;$B12,'Постоянные затраты'!$B:$B,РасшифровкаЗатрат!H$7),-SUMIFS('Постоянные затраты'!$H:$H,'Постоянные затраты'!$G:$G,"&lt;="&amp;$B12,'Постоянные затраты'!$D:$D,$C$4,'Постоянные затраты'!$B:$B,РасшифровкаЗатрат!H$7))</f>
        <v>0</v>
      </c>
      <c r="I12" s="67">
        <f>IF(F7="Все",-SUMIFS('Постоянные затраты'!$H:$H,'Постоянные затраты'!$G:$G,"&lt;="&amp;$B12,'Постоянные затраты'!$B:$B,РасшифровкаЗатрат!I$7),-SUMIFS('Постоянные затраты'!$H:$H,'Постоянные затраты'!$G:$G,"&lt;="&amp;$B12,'Постоянные затраты'!$D:$D,$C$4,'Постоянные затраты'!$B:$B,РасшифровкаЗатрат!I$7))</f>
        <v>0</v>
      </c>
      <c r="J12" s="67">
        <f>-IF($C$4="Все",SUMIFS('Заёмные средства'!$P:$P,'Заёмные средства'!$F:$F,РасшифровкаЗатрат!$B12),0)</f>
        <v>-63020.833333333321</v>
      </c>
      <c r="K12" s="67">
        <f t="shared" si="3"/>
        <v>-63020.833333333321</v>
      </c>
      <c r="M12" s="210">
        <v>2021</v>
      </c>
      <c r="N12" s="165">
        <v>-840000</v>
      </c>
      <c r="O12" s="165">
        <v>-900000</v>
      </c>
      <c r="P12" s="165">
        <v>-60000</v>
      </c>
      <c r="Q12" s="165">
        <v>-60000</v>
      </c>
    </row>
    <row r="13" spans="2:24" x14ac:dyDescent="0.25">
      <c r="B13" s="67">
        <f t="shared" si="2"/>
        <v>5</v>
      </c>
      <c r="C13" s="67">
        <f t="shared" ref="C13:C68" si="4">IF(C12=12,1,C12+1)</f>
        <v>7</v>
      </c>
      <c r="D13" s="67">
        <f t="shared" si="0"/>
        <v>2018</v>
      </c>
      <c r="E13" s="122">
        <f t="shared" si="1"/>
        <v>43312</v>
      </c>
      <c r="F13" s="67">
        <f>IF(C8="Все",-SUMIFS('Постоянные затраты'!$H:$H,'Постоянные затраты'!$G:$G,"&lt;="&amp;$B13,'Постоянные затраты'!$B:$B,РасшифровкаЗатрат!F$7),-SUMIFS('Постоянные затраты'!$H:$H,'Постоянные затраты'!$G:$G,"&lt;="&amp;$B13,'Постоянные затраты'!$D:$D,$C$4,'Постоянные затраты'!$B:$B,РасшифровкаЗатрат!F$7))</f>
        <v>0</v>
      </c>
      <c r="G13" s="67">
        <f>IF(D8="Все",-SUMIFS('Постоянные затраты'!$H:$H,'Постоянные затраты'!$G:$G,"&lt;="&amp;$B13,'Постоянные затраты'!$B:$B,РасшифровкаЗатрат!G$7),-SUMIFS('Постоянные затраты'!$H:$H,'Постоянные затраты'!$G:$G,"&lt;="&amp;$B13,'Постоянные затраты'!$D:$D,$C$4,'Постоянные затраты'!$B:$B,РасшифровкаЗатрат!G$7))</f>
        <v>0</v>
      </c>
      <c r="H13" s="67">
        <f>IF(E8="Все",-SUMIFS('Постоянные затраты'!$H:$H,'Постоянные затраты'!$G:$G,"&lt;="&amp;$B13,'Постоянные затраты'!$B:$B,РасшифровкаЗатрат!H$7),-SUMIFS('Постоянные затраты'!$H:$H,'Постоянные затраты'!$G:$G,"&lt;="&amp;$B13,'Постоянные затраты'!$D:$D,$C$4,'Постоянные затраты'!$B:$B,РасшифровкаЗатрат!H$7))</f>
        <v>0</v>
      </c>
      <c r="I13" s="67">
        <f>IF(F8="Все",-SUMIFS('Постоянные затраты'!$H:$H,'Постоянные затраты'!$G:$G,"&lt;="&amp;$B13,'Постоянные затраты'!$B:$B,РасшифровкаЗатрат!I$7),-SUMIFS('Постоянные затраты'!$H:$H,'Постоянные затраты'!$G:$G,"&lt;="&amp;$B13,'Постоянные затраты'!$D:$D,$C$4,'Постоянные затраты'!$B:$B,РасшифровкаЗатрат!I$7))</f>
        <v>0</v>
      </c>
      <c r="J13" s="67">
        <f>-IF($C$4="Все",SUMIFS('Заёмные средства'!$P:$P,'Заёмные средства'!$F:$F,РасшифровкаЗатрат!$B13),0)</f>
        <v>-61111.111111111095</v>
      </c>
      <c r="K13" s="67">
        <f t="shared" si="3"/>
        <v>-61111.111111111095</v>
      </c>
      <c r="M13" s="210">
        <v>2022</v>
      </c>
      <c r="N13" s="165">
        <v>-840000</v>
      </c>
      <c r="O13" s="165">
        <v>-900000</v>
      </c>
      <c r="P13" s="165">
        <v>-60000</v>
      </c>
      <c r="Q13" s="165">
        <v>-60000</v>
      </c>
    </row>
    <row r="14" spans="2:24" x14ac:dyDescent="0.25">
      <c r="B14" s="67">
        <f t="shared" si="2"/>
        <v>6</v>
      </c>
      <c r="C14" s="67">
        <f t="shared" si="4"/>
        <v>8</v>
      </c>
      <c r="D14" s="67">
        <f t="shared" si="0"/>
        <v>2018</v>
      </c>
      <c r="E14" s="122">
        <f t="shared" si="1"/>
        <v>43343</v>
      </c>
      <c r="F14" s="67">
        <f>IF(C9="Все",-SUMIFS('Постоянные затраты'!$H:$H,'Постоянные затраты'!$G:$G,"&lt;="&amp;$B14,'Постоянные затраты'!$B:$B,РасшифровкаЗатрат!F$7),-SUMIFS('Постоянные затраты'!$H:$H,'Постоянные затраты'!$G:$G,"&lt;="&amp;$B14,'Постоянные затраты'!$D:$D,$C$4,'Постоянные затраты'!$B:$B,РасшифровкаЗатрат!F$7))</f>
        <v>0</v>
      </c>
      <c r="G14" s="67">
        <f>IF(D9="Все",-SUMIFS('Постоянные затраты'!$H:$H,'Постоянные затраты'!$G:$G,"&lt;="&amp;$B14,'Постоянные затраты'!$B:$B,РасшифровкаЗатрат!G$7),-SUMIFS('Постоянные затраты'!$H:$H,'Постоянные затраты'!$G:$G,"&lt;="&amp;$B14,'Постоянные затраты'!$D:$D,$C$4,'Постоянные затраты'!$B:$B,РасшифровкаЗатрат!G$7))</f>
        <v>0</v>
      </c>
      <c r="H14" s="67">
        <f>IF(E9="Все",-SUMIFS('Постоянные затраты'!$H:$H,'Постоянные затраты'!$G:$G,"&lt;="&amp;$B14,'Постоянные затраты'!$B:$B,РасшифровкаЗатрат!H$7),-SUMIFS('Постоянные затраты'!$H:$H,'Постоянные затраты'!$G:$G,"&lt;="&amp;$B14,'Постоянные затраты'!$D:$D,$C$4,'Постоянные затраты'!$B:$B,РасшифровкаЗатрат!H$7))</f>
        <v>0</v>
      </c>
      <c r="I14" s="67">
        <f>IF(F9="Все",-SUMIFS('Постоянные затраты'!$H:$H,'Постоянные затраты'!$G:$G,"&lt;="&amp;$B14,'Постоянные затраты'!$B:$B,РасшифровкаЗатрат!I$7),-SUMIFS('Постоянные затраты'!$H:$H,'Постоянные затраты'!$G:$G,"&lt;="&amp;$B14,'Постоянные затраты'!$D:$D,$C$4,'Постоянные затраты'!$B:$B,РасшифровкаЗатрат!I$7))</f>
        <v>0</v>
      </c>
      <c r="J14" s="67">
        <f>-IF($C$4="Все",SUMIFS('Заёмные средства'!$P:$P,'Заёмные средства'!$F:$F,РасшифровкаЗатрат!$B14),0)</f>
        <v>-59201.388888888869</v>
      </c>
      <c r="K14" s="67">
        <f t="shared" si="3"/>
        <v>-59201.388888888869</v>
      </c>
      <c r="M14" s="210">
        <v>2023</v>
      </c>
      <c r="N14" s="165">
        <v>-140000</v>
      </c>
      <c r="O14" s="165">
        <v>-150000</v>
      </c>
      <c r="P14" s="165">
        <v>-10000</v>
      </c>
      <c r="Q14" s="165">
        <v>-10000</v>
      </c>
    </row>
    <row r="15" spans="2:24" x14ac:dyDescent="0.25">
      <c r="B15" s="67">
        <f t="shared" si="2"/>
        <v>7</v>
      </c>
      <c r="C15" s="67">
        <f t="shared" si="4"/>
        <v>9</v>
      </c>
      <c r="D15" s="67">
        <f t="shared" si="0"/>
        <v>2018</v>
      </c>
      <c r="E15" s="122">
        <f t="shared" si="1"/>
        <v>43373</v>
      </c>
      <c r="F15" s="67">
        <f>IF(C10="Все",-SUMIFS('Постоянные затраты'!$H:$H,'Постоянные затраты'!$G:$G,"&lt;="&amp;$B15,'Постоянные затраты'!$B:$B,РасшифровкаЗатрат!F$7),-SUMIFS('Постоянные затраты'!$H:$H,'Постоянные затраты'!$G:$G,"&lt;="&amp;$B15,'Постоянные затраты'!$D:$D,$C$4,'Постоянные затраты'!$B:$B,РасшифровкаЗатрат!F$7))</f>
        <v>0</v>
      </c>
      <c r="G15" s="67">
        <f>IF(D10="Все",-SUMIFS('Постоянные затраты'!$H:$H,'Постоянные затраты'!$G:$G,"&lt;="&amp;$B15,'Постоянные затраты'!$B:$B,РасшифровкаЗатрат!G$7),-SUMIFS('Постоянные затраты'!$H:$H,'Постоянные затраты'!$G:$G,"&lt;="&amp;$B15,'Постоянные затраты'!$D:$D,$C$4,'Постоянные затраты'!$B:$B,РасшифровкаЗатрат!G$7))</f>
        <v>0</v>
      </c>
      <c r="H15" s="67">
        <f>IF(E10="Все",-SUMIFS('Постоянные затраты'!$H:$H,'Постоянные затраты'!$G:$G,"&lt;="&amp;$B15,'Постоянные затраты'!$B:$B,РасшифровкаЗатрат!H$7),-SUMIFS('Постоянные затраты'!$H:$H,'Постоянные затраты'!$G:$G,"&lt;="&amp;$B15,'Постоянные затраты'!$D:$D,$C$4,'Постоянные затраты'!$B:$B,РасшифровкаЗатрат!H$7))</f>
        <v>0</v>
      </c>
      <c r="I15" s="67">
        <f>IF(F10="Все",-SUMIFS('Постоянные затраты'!$H:$H,'Постоянные затраты'!$G:$G,"&lt;="&amp;$B15,'Постоянные затраты'!$B:$B,РасшифровкаЗатрат!I$7),-SUMIFS('Постоянные затраты'!$H:$H,'Постоянные затраты'!$G:$G,"&lt;="&amp;$B15,'Постоянные затраты'!$D:$D,$C$4,'Постоянные затраты'!$B:$B,РасшифровкаЗатрат!I$7))</f>
        <v>0</v>
      </c>
      <c r="J15" s="67">
        <f>-IF($C$4="Все",SUMIFS('Заёмные средства'!$P:$P,'Заёмные средства'!$F:$F,РасшифровкаЗатрат!$B15),0)</f>
        <v>-57291.66666666665</v>
      </c>
      <c r="K15" s="67">
        <f t="shared" si="3"/>
        <v>-57291.66666666665</v>
      </c>
      <c r="M15" s="209" t="s">
        <v>138</v>
      </c>
      <c r="N15" s="165">
        <v>-4200000</v>
      </c>
      <c r="O15" s="165">
        <v>-4500000</v>
      </c>
      <c r="P15" s="165">
        <v>-300000</v>
      </c>
      <c r="Q15" s="165">
        <v>-300000</v>
      </c>
    </row>
    <row r="16" spans="2:24" x14ac:dyDescent="0.25">
      <c r="B16" s="67">
        <f t="shared" si="2"/>
        <v>8</v>
      </c>
      <c r="C16" s="67">
        <f t="shared" si="4"/>
        <v>10</v>
      </c>
      <c r="D16" s="67">
        <f t="shared" si="0"/>
        <v>2018</v>
      </c>
      <c r="E16" s="122">
        <f t="shared" si="1"/>
        <v>43404</v>
      </c>
      <c r="F16" s="67">
        <f>IF(C11="Все",-SUMIFS('Постоянные затраты'!$H:$H,'Постоянные затраты'!$G:$G,"&lt;="&amp;$B16,'Постоянные затраты'!$B:$B,РасшифровкаЗатрат!F$7),-SUMIFS('Постоянные затраты'!$H:$H,'Постоянные затраты'!$G:$G,"&lt;="&amp;$B16,'Постоянные затраты'!$D:$D,$C$4,'Постоянные затраты'!$B:$B,РасшифровкаЗатрат!F$7))</f>
        <v>0</v>
      </c>
      <c r="G16" s="67">
        <f>IF(D11="Все",-SUMIFS('Постоянные затраты'!$H:$H,'Постоянные затраты'!$G:$G,"&lt;="&amp;$B16,'Постоянные затраты'!$B:$B,РасшифровкаЗатрат!G$7),-SUMIFS('Постоянные затраты'!$H:$H,'Постоянные затраты'!$G:$G,"&lt;="&amp;$B16,'Постоянные затраты'!$D:$D,$C$4,'Постоянные затраты'!$B:$B,РасшифровкаЗатрат!G$7))</f>
        <v>0</v>
      </c>
      <c r="H16" s="67">
        <f>IF(E11="Все",-SUMIFS('Постоянные затраты'!$H:$H,'Постоянные затраты'!$G:$G,"&lt;="&amp;$B16,'Постоянные затраты'!$B:$B,РасшифровкаЗатрат!H$7),-SUMIFS('Постоянные затраты'!$H:$H,'Постоянные затраты'!$G:$G,"&lt;="&amp;$B16,'Постоянные затраты'!$D:$D,$C$4,'Постоянные затраты'!$B:$B,РасшифровкаЗатрат!H$7))</f>
        <v>0</v>
      </c>
      <c r="I16" s="67">
        <f>IF(F11="Все",-SUMIFS('Постоянные затраты'!$H:$H,'Постоянные затраты'!$G:$G,"&lt;="&amp;$B16,'Постоянные затраты'!$B:$B,РасшифровкаЗатрат!I$7),-SUMIFS('Постоянные затраты'!$H:$H,'Постоянные затраты'!$G:$G,"&lt;="&amp;$B16,'Постоянные затраты'!$D:$D,$C$4,'Постоянные затраты'!$B:$B,РасшифровкаЗатрат!I$7))</f>
        <v>0</v>
      </c>
      <c r="J16" s="67">
        <f>-IF($C$4="Все",SUMIFS('Заёмные средства'!$P:$P,'Заёмные средства'!$F:$F,РасшифровкаЗатрат!$B16),0)</f>
        <v>-55381.944444444423</v>
      </c>
      <c r="K16" s="67">
        <f t="shared" si="3"/>
        <v>-55381.944444444423</v>
      </c>
    </row>
    <row r="17" spans="2:11" x14ac:dyDescent="0.25">
      <c r="B17" s="67">
        <f t="shared" si="2"/>
        <v>9</v>
      </c>
      <c r="C17" s="67">
        <f t="shared" si="4"/>
        <v>11</v>
      </c>
      <c r="D17" s="67">
        <f t="shared" si="0"/>
        <v>2018</v>
      </c>
      <c r="E17" s="122">
        <f t="shared" si="1"/>
        <v>43434</v>
      </c>
      <c r="F17" s="67">
        <f>IF(C12="Все",-SUMIFS('Постоянные затраты'!$H:$H,'Постоянные затраты'!$G:$G,"&lt;="&amp;$B17,'Постоянные затраты'!$B:$B,РасшифровкаЗатрат!F$7),-SUMIFS('Постоянные затраты'!$H:$H,'Постоянные затраты'!$G:$G,"&lt;="&amp;$B17,'Постоянные затраты'!$D:$D,$C$4,'Постоянные затраты'!$B:$B,РасшифровкаЗатрат!F$7))</f>
        <v>0</v>
      </c>
      <c r="G17" s="67">
        <f>IF(D12="Все",-SUMIFS('Постоянные затраты'!$H:$H,'Постоянные затраты'!$G:$G,"&lt;="&amp;$B17,'Постоянные затраты'!$B:$B,РасшифровкаЗатрат!G$7),-SUMIFS('Постоянные затраты'!$H:$H,'Постоянные затраты'!$G:$G,"&lt;="&amp;$B17,'Постоянные затраты'!$D:$D,$C$4,'Постоянные затраты'!$B:$B,РасшифровкаЗатрат!G$7))</f>
        <v>0</v>
      </c>
      <c r="H17" s="67">
        <f>IF(E12="Все",-SUMIFS('Постоянные затраты'!$H:$H,'Постоянные затраты'!$G:$G,"&lt;="&amp;$B17,'Постоянные затраты'!$B:$B,РасшифровкаЗатрат!H$7),-SUMIFS('Постоянные затраты'!$H:$H,'Постоянные затраты'!$G:$G,"&lt;="&amp;$B17,'Постоянные затраты'!$D:$D,$C$4,'Постоянные затраты'!$B:$B,РасшифровкаЗатрат!H$7))</f>
        <v>0</v>
      </c>
      <c r="I17" s="67">
        <f>IF(F12="Все",-SUMIFS('Постоянные затраты'!$H:$H,'Постоянные затраты'!$G:$G,"&lt;="&amp;$B17,'Постоянные затраты'!$B:$B,РасшифровкаЗатрат!I$7),-SUMIFS('Постоянные затраты'!$H:$H,'Постоянные затраты'!$G:$G,"&lt;="&amp;$B17,'Постоянные затраты'!$D:$D,$C$4,'Постоянные затраты'!$B:$B,РасшифровкаЗатрат!I$7))</f>
        <v>0</v>
      </c>
      <c r="J17" s="67">
        <f>-IF($C$4="Все",SUMIFS('Заёмные средства'!$P:$P,'Заёмные средства'!$F:$F,РасшифровкаЗатрат!$B17),0)</f>
        <v>-53472.222222222197</v>
      </c>
      <c r="K17" s="67">
        <f t="shared" si="3"/>
        <v>-53472.222222222197</v>
      </c>
    </row>
    <row r="18" spans="2:11" x14ac:dyDescent="0.25">
      <c r="B18" s="67">
        <f t="shared" si="2"/>
        <v>10</v>
      </c>
      <c r="C18" s="67">
        <f t="shared" si="4"/>
        <v>12</v>
      </c>
      <c r="D18" s="67">
        <f t="shared" si="0"/>
        <v>2018</v>
      </c>
      <c r="E18" s="122">
        <f t="shared" si="1"/>
        <v>43465</v>
      </c>
      <c r="F18" s="67">
        <f>IF(C13="Все",-SUMIFS('Постоянные затраты'!$H:$H,'Постоянные затраты'!$G:$G,"&lt;="&amp;$B18,'Постоянные затраты'!$B:$B,РасшифровкаЗатрат!F$7),-SUMIFS('Постоянные затраты'!$H:$H,'Постоянные затраты'!$G:$G,"&lt;="&amp;$B18,'Постоянные затраты'!$D:$D,$C$4,'Постоянные затраты'!$B:$B,РасшифровкаЗатрат!F$7))</f>
        <v>0</v>
      </c>
      <c r="G18" s="67">
        <f>IF(D13="Все",-SUMIFS('Постоянные затраты'!$H:$H,'Постоянные затраты'!$G:$G,"&lt;="&amp;$B18,'Постоянные затраты'!$B:$B,РасшифровкаЗатрат!G$7),-SUMIFS('Постоянные затраты'!$H:$H,'Постоянные затраты'!$G:$G,"&lt;="&amp;$B18,'Постоянные затраты'!$D:$D,$C$4,'Постоянные затраты'!$B:$B,РасшифровкаЗатрат!G$7))</f>
        <v>0</v>
      </c>
      <c r="H18" s="67">
        <f>IF(E13="Все",-SUMIFS('Постоянные затраты'!$H:$H,'Постоянные затраты'!$G:$G,"&lt;="&amp;$B18,'Постоянные затраты'!$B:$B,РасшифровкаЗатрат!H$7),-SUMIFS('Постоянные затраты'!$H:$H,'Постоянные затраты'!$G:$G,"&lt;="&amp;$B18,'Постоянные затраты'!$D:$D,$C$4,'Постоянные затраты'!$B:$B,РасшифровкаЗатрат!H$7))</f>
        <v>0</v>
      </c>
      <c r="I18" s="67">
        <f>IF(F13="Все",-SUMIFS('Постоянные затраты'!$H:$H,'Постоянные затраты'!$G:$G,"&lt;="&amp;$B18,'Постоянные затраты'!$B:$B,РасшифровкаЗатрат!I$7),-SUMIFS('Постоянные затраты'!$H:$H,'Постоянные затраты'!$G:$G,"&lt;="&amp;$B18,'Постоянные затраты'!$D:$D,$C$4,'Постоянные затраты'!$B:$B,РасшифровкаЗатрат!I$7))</f>
        <v>0</v>
      </c>
      <c r="J18" s="67">
        <f>-IF($C$4="Все",SUMIFS('Заёмные средства'!$P:$P,'Заёмные средства'!$F:$F,РасшифровкаЗатрат!$B18),0)</f>
        <v>-51562.499999999978</v>
      </c>
      <c r="K18" s="67">
        <f t="shared" si="3"/>
        <v>-51562.499999999978</v>
      </c>
    </row>
    <row r="19" spans="2:11" x14ac:dyDescent="0.25">
      <c r="B19" s="67">
        <f t="shared" si="2"/>
        <v>11</v>
      </c>
      <c r="C19" s="67">
        <f t="shared" si="4"/>
        <v>1</v>
      </c>
      <c r="D19" s="67">
        <f t="shared" si="0"/>
        <v>2019</v>
      </c>
      <c r="E19" s="122">
        <f t="shared" si="1"/>
        <v>43496</v>
      </c>
      <c r="F19" s="67">
        <f>IF(C14="Все",-SUMIFS('Постоянные затраты'!$H:$H,'Постоянные затраты'!$G:$G,"&lt;="&amp;$B19,'Постоянные затраты'!$B:$B,РасшифровкаЗатрат!F$7),-SUMIFS('Постоянные затраты'!$H:$H,'Постоянные затраты'!$G:$G,"&lt;="&amp;$B19,'Постоянные затраты'!$D:$D,$C$4,'Постоянные затраты'!$B:$B,РасшифровкаЗатрат!F$7))</f>
        <v>0</v>
      </c>
      <c r="G19" s="67">
        <f>IF(D14="Все",-SUMIFS('Постоянные затраты'!$H:$H,'Постоянные затраты'!$G:$G,"&lt;="&amp;$B19,'Постоянные затраты'!$B:$B,РасшифровкаЗатрат!G$7),-SUMIFS('Постоянные затраты'!$H:$H,'Постоянные затраты'!$G:$G,"&lt;="&amp;$B19,'Постоянные затраты'!$D:$D,$C$4,'Постоянные затраты'!$B:$B,РасшифровкаЗатрат!G$7))</f>
        <v>0</v>
      </c>
      <c r="H19" s="67">
        <f>IF(E14="Все",-SUMIFS('Постоянные затраты'!$H:$H,'Постоянные затраты'!$G:$G,"&lt;="&amp;$B19,'Постоянные затраты'!$B:$B,РасшифровкаЗатрат!H$7),-SUMIFS('Постоянные затраты'!$H:$H,'Постоянные затраты'!$G:$G,"&lt;="&amp;$B19,'Постоянные затраты'!$D:$D,$C$4,'Постоянные затраты'!$B:$B,РасшифровкаЗатрат!H$7))</f>
        <v>0</v>
      </c>
      <c r="I19" s="67">
        <f>IF(F14="Все",-SUMIFS('Постоянные затраты'!$H:$H,'Постоянные затраты'!$G:$G,"&lt;="&amp;$B19,'Постоянные затраты'!$B:$B,РасшифровкаЗатрат!I$7),-SUMIFS('Постоянные затраты'!$H:$H,'Постоянные затраты'!$G:$G,"&lt;="&amp;$B19,'Постоянные затраты'!$D:$D,$C$4,'Постоянные затраты'!$B:$B,РасшифровкаЗатрат!I$7))</f>
        <v>0</v>
      </c>
      <c r="J19" s="67">
        <f>-IF($C$4="Все",SUMIFS('Заёмные средства'!$P:$P,'Заёмные средства'!$F:$F,РасшифровкаЗатрат!$B19),0)</f>
        <v>-49652.777777777759</v>
      </c>
      <c r="K19" s="67">
        <f t="shared" si="3"/>
        <v>-49652.777777777759</v>
      </c>
    </row>
    <row r="20" spans="2:11" x14ac:dyDescent="0.25">
      <c r="B20" s="67">
        <f t="shared" si="2"/>
        <v>12</v>
      </c>
      <c r="C20" s="67">
        <f t="shared" si="4"/>
        <v>2</v>
      </c>
      <c r="D20" s="67">
        <f t="shared" si="0"/>
        <v>2019</v>
      </c>
      <c r="E20" s="122">
        <f t="shared" si="1"/>
        <v>43524</v>
      </c>
      <c r="F20" s="67">
        <f>IF(C15="Все",-SUMIFS('Постоянные затраты'!$H:$H,'Постоянные затраты'!$G:$G,"&lt;="&amp;$B20,'Постоянные затраты'!$B:$B,РасшифровкаЗатрат!F$7),-SUMIFS('Постоянные затраты'!$H:$H,'Постоянные затраты'!$G:$G,"&lt;="&amp;$B20,'Постоянные затраты'!$D:$D,$C$4,'Постоянные затраты'!$B:$B,РасшифровкаЗатрат!F$7))</f>
        <v>0</v>
      </c>
      <c r="G20" s="67">
        <f>IF(D15="Все",-SUMIFS('Постоянные затраты'!$H:$H,'Постоянные затраты'!$G:$G,"&lt;="&amp;$B20,'Постоянные затраты'!$B:$B,РасшифровкаЗатрат!G$7),-SUMIFS('Постоянные затраты'!$H:$H,'Постоянные затраты'!$G:$G,"&lt;="&amp;$B20,'Постоянные затраты'!$D:$D,$C$4,'Постоянные затраты'!$B:$B,РасшифровкаЗатрат!G$7))</f>
        <v>0</v>
      </c>
      <c r="H20" s="67">
        <f>IF(E15="Все",-SUMIFS('Постоянные затраты'!$H:$H,'Постоянные затраты'!$G:$G,"&lt;="&amp;$B20,'Постоянные затраты'!$B:$B,РасшифровкаЗатрат!H$7),-SUMIFS('Постоянные затраты'!$H:$H,'Постоянные затраты'!$G:$G,"&lt;="&amp;$B20,'Постоянные затраты'!$D:$D,$C$4,'Постоянные затраты'!$B:$B,РасшифровкаЗатрат!H$7))</f>
        <v>0</v>
      </c>
      <c r="I20" s="67">
        <f>IF(F15="Все",-SUMIFS('Постоянные затраты'!$H:$H,'Постоянные затраты'!$G:$G,"&lt;="&amp;$B20,'Постоянные затраты'!$B:$B,РасшифровкаЗатрат!I$7),-SUMIFS('Постоянные затраты'!$H:$H,'Постоянные затраты'!$G:$G,"&lt;="&amp;$B20,'Постоянные затраты'!$D:$D,$C$4,'Постоянные затраты'!$B:$B,РасшифровкаЗатрат!I$7))</f>
        <v>0</v>
      </c>
      <c r="J20" s="67">
        <f>-IF($C$4="Все",SUMIFS('Заёмные средства'!$P:$P,'Заёмные средства'!$F:$F,РасшифровкаЗатрат!$B20),0)</f>
        <v>-47743.05555555554</v>
      </c>
      <c r="K20" s="67">
        <f t="shared" si="3"/>
        <v>-47743.05555555554</v>
      </c>
    </row>
    <row r="21" spans="2:11" x14ac:dyDescent="0.25">
      <c r="B21" s="67">
        <f t="shared" si="2"/>
        <v>13</v>
      </c>
      <c r="C21" s="67">
        <f t="shared" si="4"/>
        <v>3</v>
      </c>
      <c r="D21" s="67">
        <f t="shared" si="0"/>
        <v>2019</v>
      </c>
      <c r="E21" s="122">
        <f t="shared" si="1"/>
        <v>43555</v>
      </c>
      <c r="F21" s="67">
        <f>IF(C16="Все",-SUMIFS('Постоянные затраты'!$H:$H,'Постоянные затраты'!$G:$G,"&lt;="&amp;$B21,'Постоянные затраты'!$B:$B,РасшифровкаЗатрат!F$7),-SUMIFS('Постоянные затраты'!$H:$H,'Постоянные затраты'!$G:$G,"&lt;="&amp;$B21,'Постоянные затраты'!$D:$D,$C$4,'Постоянные затраты'!$B:$B,РасшифровкаЗатрат!F$7))</f>
        <v>0</v>
      </c>
      <c r="G21" s="67">
        <f>IF(D16="Все",-SUMIFS('Постоянные затраты'!$H:$H,'Постоянные затраты'!$G:$G,"&lt;="&amp;$B21,'Постоянные затраты'!$B:$B,РасшифровкаЗатрат!G$7),-SUMIFS('Постоянные затраты'!$H:$H,'Постоянные затраты'!$G:$G,"&lt;="&amp;$B21,'Постоянные затраты'!$D:$D,$C$4,'Постоянные затраты'!$B:$B,РасшифровкаЗатрат!G$7))</f>
        <v>0</v>
      </c>
      <c r="H21" s="67">
        <f>IF(E16="Все",-SUMIFS('Постоянные затраты'!$H:$H,'Постоянные затраты'!$G:$G,"&lt;="&amp;$B21,'Постоянные затраты'!$B:$B,РасшифровкаЗатрат!H$7),-SUMIFS('Постоянные затраты'!$H:$H,'Постоянные затраты'!$G:$G,"&lt;="&amp;$B21,'Постоянные затраты'!$D:$D,$C$4,'Постоянные затраты'!$B:$B,РасшифровкаЗатрат!H$7))</f>
        <v>0</v>
      </c>
      <c r="I21" s="67">
        <f>IF(F16="Все",-SUMIFS('Постоянные затраты'!$H:$H,'Постоянные затраты'!$G:$G,"&lt;="&amp;$B21,'Постоянные затраты'!$B:$B,РасшифровкаЗатрат!I$7),-SUMIFS('Постоянные затраты'!$H:$H,'Постоянные затраты'!$G:$G,"&lt;="&amp;$B21,'Постоянные затраты'!$D:$D,$C$4,'Постоянные затраты'!$B:$B,РасшифровкаЗатрат!I$7))</f>
        <v>0</v>
      </c>
      <c r="J21" s="67">
        <f>-IF($C$4="Все",SUMIFS('Заёмные средства'!$P:$P,'Заёмные средства'!$F:$F,РасшифровкаЗатрат!$B21),0)</f>
        <v>-45833.333333333321</v>
      </c>
      <c r="K21" s="67">
        <f t="shared" si="3"/>
        <v>-45833.333333333321</v>
      </c>
    </row>
    <row r="22" spans="2:11" x14ac:dyDescent="0.25">
      <c r="B22" s="106">
        <f t="shared" si="2"/>
        <v>14</v>
      </c>
      <c r="C22" s="106">
        <f t="shared" si="4"/>
        <v>4</v>
      </c>
      <c r="D22" s="106">
        <f t="shared" si="0"/>
        <v>2019</v>
      </c>
      <c r="E22" s="149">
        <f t="shared" si="1"/>
        <v>43585</v>
      </c>
      <c r="F22" s="67">
        <f>IF(C17="Все",-SUMIFS('Постоянные затраты'!$H:$H,'Постоянные затраты'!$G:$G,"&lt;="&amp;$B22,'Постоянные затраты'!$B:$B,РасшифровкаЗатрат!F$7),-SUMIFS('Постоянные затраты'!$H:$H,'Постоянные затраты'!$G:$G,"&lt;="&amp;$B22,'Постоянные затраты'!$D:$D,$C$4,'Постоянные затраты'!$B:$B,РасшифровкаЗатрат!F$7))</f>
        <v>0</v>
      </c>
      <c r="G22" s="67">
        <f>IF(D17="Все",-SUMIFS('Постоянные затраты'!$H:$H,'Постоянные затраты'!$G:$G,"&lt;="&amp;$B22,'Постоянные затраты'!$B:$B,РасшифровкаЗатрат!G$7),-SUMIFS('Постоянные затраты'!$H:$H,'Постоянные затраты'!$G:$G,"&lt;="&amp;$B22,'Постоянные затраты'!$D:$D,$C$4,'Постоянные затраты'!$B:$B,РасшифровкаЗатрат!G$7))</f>
        <v>0</v>
      </c>
      <c r="H22" s="67">
        <f>IF(E17="Все",-SUMIFS('Постоянные затраты'!$H:$H,'Постоянные затраты'!$G:$G,"&lt;="&amp;$B22,'Постоянные затраты'!$B:$B,РасшифровкаЗатрат!H$7),-SUMIFS('Постоянные затраты'!$H:$H,'Постоянные затраты'!$G:$G,"&lt;="&amp;$B22,'Постоянные затраты'!$D:$D,$C$4,'Постоянные затраты'!$B:$B,РасшифровкаЗатрат!H$7))</f>
        <v>0</v>
      </c>
      <c r="I22" s="67">
        <f>IF(F17="Все",-SUMIFS('Постоянные затраты'!$H:$H,'Постоянные затраты'!$G:$G,"&lt;="&amp;$B22,'Постоянные затраты'!$B:$B,РасшифровкаЗатрат!I$7),-SUMIFS('Постоянные затраты'!$H:$H,'Постоянные затраты'!$G:$G,"&lt;="&amp;$B22,'Постоянные затраты'!$D:$D,$C$4,'Постоянные затраты'!$B:$B,РасшифровкаЗатрат!I$7))</f>
        <v>0</v>
      </c>
      <c r="J22" s="67">
        <f>-IF($C$4="Все",SUMIFS('Заёмные средства'!$P:$P,'Заёмные средства'!$F:$F,РасшифровкаЗатрат!$B22),0)</f>
        <v>-43923.611111111095</v>
      </c>
      <c r="K22" s="67">
        <f t="shared" si="3"/>
        <v>-43923.611111111095</v>
      </c>
    </row>
    <row r="23" spans="2:11" x14ac:dyDescent="0.25">
      <c r="B23" s="67">
        <f t="shared" si="2"/>
        <v>15</v>
      </c>
      <c r="C23" s="67">
        <f t="shared" si="4"/>
        <v>5</v>
      </c>
      <c r="D23" s="67">
        <f t="shared" si="0"/>
        <v>2019</v>
      </c>
      <c r="E23" s="122">
        <f t="shared" si="1"/>
        <v>43616</v>
      </c>
      <c r="F23" s="67">
        <f>IF(C18="Все",-SUMIFS('Постоянные затраты'!$H:$H,'Постоянные затраты'!$G:$G,"&lt;="&amp;$B23,'Постоянные затраты'!$B:$B,РасшифровкаЗатрат!F$7),-SUMIFS('Постоянные затраты'!$H:$H,'Постоянные затраты'!$G:$G,"&lt;="&amp;$B23,'Постоянные затраты'!$D:$D,$C$4,'Постоянные затраты'!$B:$B,РасшифровкаЗатрат!F$7))</f>
        <v>0</v>
      </c>
      <c r="G23" s="67">
        <f>IF(D18="Все",-SUMIFS('Постоянные затраты'!$H:$H,'Постоянные затраты'!$G:$G,"&lt;="&amp;$B23,'Постоянные затраты'!$B:$B,РасшифровкаЗатрат!G$7),-SUMIFS('Постоянные затраты'!$H:$H,'Постоянные затраты'!$G:$G,"&lt;="&amp;$B23,'Постоянные затраты'!$D:$D,$C$4,'Постоянные затраты'!$B:$B,РасшифровкаЗатрат!G$7))</f>
        <v>0</v>
      </c>
      <c r="H23" s="67">
        <f>IF(E18="Все",-SUMIFS('Постоянные затраты'!$H:$H,'Постоянные затраты'!$G:$G,"&lt;="&amp;$B23,'Постоянные затраты'!$B:$B,РасшифровкаЗатрат!H$7),-SUMIFS('Постоянные затраты'!$H:$H,'Постоянные затраты'!$G:$G,"&lt;="&amp;$B23,'Постоянные затраты'!$D:$D,$C$4,'Постоянные затраты'!$B:$B,РасшифровкаЗатрат!H$7))</f>
        <v>0</v>
      </c>
      <c r="I23" s="67">
        <f>IF(F18="Все",-SUMIFS('Постоянные затраты'!$H:$H,'Постоянные затраты'!$G:$G,"&lt;="&amp;$B23,'Постоянные затраты'!$B:$B,РасшифровкаЗатрат!I$7),-SUMIFS('Постоянные затраты'!$H:$H,'Постоянные затраты'!$G:$G,"&lt;="&amp;$B23,'Постоянные затраты'!$D:$D,$C$4,'Постоянные затраты'!$B:$B,РасшифровкаЗатрат!I$7))</f>
        <v>0</v>
      </c>
      <c r="J23" s="67">
        <f>-IF($C$4="Все",SUMIFS('Заёмные средства'!$P:$P,'Заёмные средства'!$F:$F,РасшифровкаЗатрат!$B23),0)</f>
        <v>-42013.888888888876</v>
      </c>
      <c r="K23" s="67">
        <f t="shared" si="3"/>
        <v>-42013.888888888876</v>
      </c>
    </row>
    <row r="24" spans="2:11" x14ac:dyDescent="0.25">
      <c r="B24" s="67">
        <f t="shared" si="2"/>
        <v>16</v>
      </c>
      <c r="C24" s="67">
        <f t="shared" si="4"/>
        <v>6</v>
      </c>
      <c r="D24" s="67">
        <f t="shared" si="0"/>
        <v>2019</v>
      </c>
      <c r="E24" s="122">
        <f t="shared" si="1"/>
        <v>43646</v>
      </c>
      <c r="F24" s="67">
        <f>IF(C19="Все",-SUMIFS('Постоянные затраты'!$H:$H,'Постоянные затраты'!$G:$G,"&lt;="&amp;$B24,'Постоянные затраты'!$B:$B,РасшифровкаЗатрат!F$7),-SUMIFS('Постоянные затраты'!$H:$H,'Постоянные затраты'!$G:$G,"&lt;="&amp;$B24,'Постоянные затраты'!$D:$D,$C$4,'Постоянные затраты'!$B:$B,РасшифровкаЗатрат!F$7))</f>
        <v>0</v>
      </c>
      <c r="G24" s="67">
        <f>IF(D19="Все",-SUMIFS('Постоянные затраты'!$H:$H,'Постоянные затраты'!$G:$G,"&lt;="&amp;$B24,'Постоянные затраты'!$B:$B,РасшифровкаЗатрат!G$7),-SUMIFS('Постоянные затраты'!$H:$H,'Постоянные затраты'!$G:$G,"&lt;="&amp;$B24,'Постоянные затраты'!$D:$D,$C$4,'Постоянные затраты'!$B:$B,РасшифровкаЗатрат!G$7))</f>
        <v>0</v>
      </c>
      <c r="H24" s="67">
        <f>IF(E19="Все",-SUMIFS('Постоянные затраты'!$H:$H,'Постоянные затраты'!$G:$G,"&lt;="&amp;$B24,'Постоянные затраты'!$B:$B,РасшифровкаЗатрат!H$7),-SUMIFS('Постоянные затраты'!$H:$H,'Постоянные затраты'!$G:$G,"&lt;="&amp;$B24,'Постоянные затраты'!$D:$D,$C$4,'Постоянные затраты'!$B:$B,РасшифровкаЗатрат!H$7))</f>
        <v>0</v>
      </c>
      <c r="I24" s="67">
        <f>IF(F19="Все",-SUMIFS('Постоянные затраты'!$H:$H,'Постоянные затраты'!$G:$G,"&lt;="&amp;$B24,'Постоянные затраты'!$B:$B,РасшифровкаЗатрат!I$7),-SUMIFS('Постоянные затраты'!$H:$H,'Постоянные затраты'!$G:$G,"&lt;="&amp;$B24,'Постоянные затраты'!$D:$D,$C$4,'Постоянные затраты'!$B:$B,РасшифровкаЗатрат!I$7))</f>
        <v>0</v>
      </c>
      <c r="J24" s="67">
        <f>-IF($C$4="Все",SUMIFS('Заёмные средства'!$P:$P,'Заёмные средства'!$F:$F,РасшифровкаЗатрат!$B24),0)</f>
        <v>-40104.166666666657</v>
      </c>
      <c r="K24" s="67">
        <f t="shared" si="3"/>
        <v>-40104.166666666657</v>
      </c>
    </row>
    <row r="25" spans="2:11" x14ac:dyDescent="0.25">
      <c r="B25" s="67">
        <f t="shared" ref="B25:B68" si="5">B24+1</f>
        <v>17</v>
      </c>
      <c r="C25" s="67">
        <f t="shared" si="4"/>
        <v>7</v>
      </c>
      <c r="D25" s="67">
        <f t="shared" si="0"/>
        <v>2019</v>
      </c>
      <c r="E25" s="122">
        <f t="shared" si="1"/>
        <v>43677</v>
      </c>
      <c r="F25" s="67">
        <f>IF(C20="Все",-SUMIFS('Постоянные затраты'!$H:$H,'Постоянные затраты'!$G:$G,"&lt;="&amp;$B25,'Постоянные затраты'!$B:$B,РасшифровкаЗатрат!F$7),-SUMIFS('Постоянные затраты'!$H:$H,'Постоянные затраты'!$G:$G,"&lt;="&amp;$B25,'Постоянные затраты'!$D:$D,$C$4,'Постоянные затраты'!$B:$B,РасшифровкаЗатрат!F$7))</f>
        <v>0</v>
      </c>
      <c r="G25" s="67">
        <f>IF(D20="Все",-SUMIFS('Постоянные затраты'!$H:$H,'Постоянные затраты'!$G:$G,"&lt;="&amp;$B25,'Постоянные затраты'!$B:$B,РасшифровкаЗатрат!G$7),-SUMIFS('Постоянные затраты'!$H:$H,'Постоянные затраты'!$G:$G,"&lt;="&amp;$B25,'Постоянные затраты'!$D:$D,$C$4,'Постоянные затраты'!$B:$B,РасшифровкаЗатрат!G$7))</f>
        <v>0</v>
      </c>
      <c r="H25" s="67">
        <f>IF(E20="Все",-SUMIFS('Постоянные затраты'!$H:$H,'Постоянные затраты'!$G:$G,"&lt;="&amp;$B25,'Постоянные затраты'!$B:$B,РасшифровкаЗатрат!H$7),-SUMIFS('Постоянные затраты'!$H:$H,'Постоянные затраты'!$G:$G,"&lt;="&amp;$B25,'Постоянные затраты'!$D:$D,$C$4,'Постоянные затраты'!$B:$B,РасшифровкаЗатрат!H$7))</f>
        <v>0</v>
      </c>
      <c r="I25" s="67">
        <f>IF(F20="Все",-SUMIFS('Постоянные затраты'!$H:$H,'Постоянные затраты'!$G:$G,"&lt;="&amp;$B25,'Постоянные затраты'!$B:$B,РасшифровкаЗатрат!I$7),-SUMIFS('Постоянные затраты'!$H:$H,'Постоянные затраты'!$G:$G,"&lt;="&amp;$B25,'Постоянные затраты'!$D:$D,$C$4,'Постоянные затраты'!$B:$B,РасшифровкаЗатрат!I$7))</f>
        <v>0</v>
      </c>
      <c r="J25" s="67">
        <f>-IF($C$4="Все",SUMIFS('Заёмные средства'!$P:$P,'Заёмные средства'!$F:$F,РасшифровкаЗатрат!$B25),0)</f>
        <v>-38194.444444444438</v>
      </c>
      <c r="K25" s="67">
        <f t="shared" si="3"/>
        <v>-38194.444444444438</v>
      </c>
    </row>
    <row r="26" spans="2:11" x14ac:dyDescent="0.25">
      <c r="B26" s="67">
        <f t="shared" si="5"/>
        <v>18</v>
      </c>
      <c r="C26" s="67">
        <f t="shared" si="4"/>
        <v>8</v>
      </c>
      <c r="D26" s="67">
        <f t="shared" si="0"/>
        <v>2019</v>
      </c>
      <c r="E26" s="122">
        <f t="shared" si="1"/>
        <v>43708</v>
      </c>
      <c r="F26" s="67">
        <f>IF(C21="Все",-SUMIFS('Постоянные затраты'!$H:$H,'Постоянные затраты'!$G:$G,"&lt;="&amp;$B26,'Постоянные затраты'!$B:$B,РасшифровкаЗатрат!F$7),-SUMIFS('Постоянные затраты'!$H:$H,'Постоянные затраты'!$G:$G,"&lt;="&amp;$B26,'Постоянные затраты'!$D:$D,$C$4,'Постоянные затраты'!$B:$B,РасшифровкаЗатрат!F$7))</f>
        <v>0</v>
      </c>
      <c r="G26" s="67">
        <f>IF(D21="Все",-SUMIFS('Постоянные затраты'!$H:$H,'Постоянные затраты'!$G:$G,"&lt;="&amp;$B26,'Постоянные затраты'!$B:$B,РасшифровкаЗатрат!G$7),-SUMIFS('Постоянные затраты'!$H:$H,'Постоянные затраты'!$G:$G,"&lt;="&amp;$B26,'Постоянные затраты'!$D:$D,$C$4,'Постоянные затраты'!$B:$B,РасшифровкаЗатрат!G$7))</f>
        <v>0</v>
      </c>
      <c r="H26" s="67">
        <f>IF(E21="Все",-SUMIFS('Постоянные затраты'!$H:$H,'Постоянные затраты'!$G:$G,"&lt;="&amp;$B26,'Постоянные затраты'!$B:$B,РасшифровкаЗатрат!H$7),-SUMIFS('Постоянные затраты'!$H:$H,'Постоянные затраты'!$G:$G,"&lt;="&amp;$B26,'Постоянные затраты'!$D:$D,$C$4,'Постоянные затраты'!$B:$B,РасшифровкаЗатрат!H$7))</f>
        <v>0</v>
      </c>
      <c r="I26" s="67">
        <f>IF(F21="Все",-SUMIFS('Постоянные затраты'!$H:$H,'Постоянные затраты'!$G:$G,"&lt;="&amp;$B26,'Постоянные затраты'!$B:$B,РасшифровкаЗатрат!I$7),-SUMIFS('Постоянные затраты'!$H:$H,'Постоянные затраты'!$G:$G,"&lt;="&amp;$B26,'Постоянные затраты'!$D:$D,$C$4,'Постоянные затраты'!$B:$B,РасшифровкаЗатрат!I$7))</f>
        <v>0</v>
      </c>
      <c r="J26" s="67">
        <f>-IF($C$4="Все",SUMIFS('Заёмные средства'!$P:$P,'Заёмные средства'!$F:$F,РасшифровкаЗатрат!$B26),0)</f>
        <v>-36284.722222222212</v>
      </c>
      <c r="K26" s="67">
        <f t="shared" si="3"/>
        <v>-36284.722222222212</v>
      </c>
    </row>
    <row r="27" spans="2:11" x14ac:dyDescent="0.25">
      <c r="B27" s="67">
        <f t="shared" si="5"/>
        <v>19</v>
      </c>
      <c r="C27" s="67">
        <f t="shared" si="4"/>
        <v>9</v>
      </c>
      <c r="D27" s="67">
        <f t="shared" si="0"/>
        <v>2019</v>
      </c>
      <c r="E27" s="122">
        <f t="shared" si="1"/>
        <v>43738</v>
      </c>
      <c r="F27" s="67">
        <f>IF(C22="Все",-SUMIFS('Постоянные затраты'!$H:$H,'Постоянные затраты'!$G:$G,"&lt;="&amp;$B27,'Постоянные затраты'!$B:$B,РасшифровкаЗатрат!F$7),-SUMIFS('Постоянные затраты'!$H:$H,'Постоянные затраты'!$G:$G,"&lt;="&amp;$B27,'Постоянные затраты'!$D:$D,$C$4,'Постоянные затраты'!$B:$B,РасшифровкаЗатрат!F$7))</f>
        <v>0</v>
      </c>
      <c r="G27" s="67">
        <f>IF(D22="Все",-SUMIFS('Постоянные затраты'!$H:$H,'Постоянные затраты'!$G:$G,"&lt;="&amp;$B27,'Постоянные затраты'!$B:$B,РасшифровкаЗатрат!G$7),-SUMIFS('Постоянные затраты'!$H:$H,'Постоянные затраты'!$G:$G,"&lt;="&amp;$B27,'Постоянные затраты'!$D:$D,$C$4,'Постоянные затраты'!$B:$B,РасшифровкаЗатрат!G$7))</f>
        <v>0</v>
      </c>
      <c r="H27" s="67">
        <f>IF(E22="Все",-SUMIFS('Постоянные затраты'!$H:$H,'Постоянные затраты'!$G:$G,"&lt;="&amp;$B27,'Постоянные затраты'!$B:$B,РасшифровкаЗатрат!H$7),-SUMIFS('Постоянные затраты'!$H:$H,'Постоянные затраты'!$G:$G,"&lt;="&amp;$B27,'Постоянные затраты'!$D:$D,$C$4,'Постоянные затраты'!$B:$B,РасшифровкаЗатрат!H$7))</f>
        <v>0</v>
      </c>
      <c r="I27" s="67">
        <f>IF(F22="Все",-SUMIFS('Постоянные затраты'!$H:$H,'Постоянные затраты'!$G:$G,"&lt;="&amp;$B27,'Постоянные затраты'!$B:$B,РасшифровкаЗатрат!I$7),-SUMIFS('Постоянные затраты'!$H:$H,'Постоянные затраты'!$G:$G,"&lt;="&amp;$B27,'Постоянные затраты'!$D:$D,$C$4,'Постоянные затраты'!$B:$B,РасшифровкаЗатрат!I$7))</f>
        <v>0</v>
      </c>
      <c r="J27" s="67">
        <f>-IF($C$4="Все",SUMIFS('Заёмные средства'!$P:$P,'Заёмные средства'!$F:$F,РасшифровкаЗатрат!$B27),0)</f>
        <v>-34374.999999999985</v>
      </c>
      <c r="K27" s="67">
        <f t="shared" si="3"/>
        <v>-34374.999999999985</v>
      </c>
    </row>
    <row r="28" spans="2:11" x14ac:dyDescent="0.25">
      <c r="B28" s="67">
        <f t="shared" si="5"/>
        <v>20</v>
      </c>
      <c r="C28" s="67">
        <f t="shared" si="4"/>
        <v>10</v>
      </c>
      <c r="D28" s="67">
        <f t="shared" si="0"/>
        <v>2019</v>
      </c>
      <c r="E28" s="122">
        <f t="shared" si="1"/>
        <v>43769</v>
      </c>
      <c r="F28" s="67">
        <f>IF(C23="Все",-SUMIFS('Постоянные затраты'!$H:$H,'Постоянные затраты'!$G:$G,"&lt;="&amp;$B28,'Постоянные затраты'!$B:$B,РасшифровкаЗатрат!F$7),-SUMIFS('Постоянные затраты'!$H:$H,'Постоянные затраты'!$G:$G,"&lt;="&amp;$B28,'Постоянные затраты'!$D:$D,$C$4,'Постоянные затраты'!$B:$B,РасшифровкаЗатрат!F$7))</f>
        <v>0</v>
      </c>
      <c r="G28" s="67">
        <f>IF(D23="Все",-SUMIFS('Постоянные затраты'!$H:$H,'Постоянные затраты'!$G:$G,"&lt;="&amp;$B28,'Постоянные затраты'!$B:$B,РасшифровкаЗатрат!G$7),-SUMIFS('Постоянные затраты'!$H:$H,'Постоянные затраты'!$G:$G,"&lt;="&amp;$B28,'Постоянные затраты'!$D:$D,$C$4,'Постоянные затраты'!$B:$B,РасшифровкаЗатрат!G$7))</f>
        <v>0</v>
      </c>
      <c r="H28" s="67">
        <f>IF(E23="Все",-SUMIFS('Постоянные затраты'!$H:$H,'Постоянные затраты'!$G:$G,"&lt;="&amp;$B28,'Постоянные затраты'!$B:$B,РасшифровкаЗатрат!H$7),-SUMIFS('Постоянные затраты'!$H:$H,'Постоянные затраты'!$G:$G,"&lt;="&amp;$B28,'Постоянные затраты'!$D:$D,$C$4,'Постоянные затраты'!$B:$B,РасшифровкаЗатрат!H$7))</f>
        <v>0</v>
      </c>
      <c r="I28" s="67">
        <f>IF(F23="Все",-SUMIFS('Постоянные затраты'!$H:$H,'Постоянные затраты'!$G:$G,"&lt;="&amp;$B28,'Постоянные затраты'!$B:$B,РасшифровкаЗатрат!I$7),-SUMIFS('Постоянные затраты'!$H:$H,'Постоянные затраты'!$G:$G,"&lt;="&amp;$B28,'Постоянные затраты'!$D:$D,$C$4,'Постоянные затраты'!$B:$B,РасшифровкаЗатрат!I$7))</f>
        <v>0</v>
      </c>
      <c r="J28" s="67">
        <f>-IF($C$4="Все",SUMIFS('Заёмные средства'!$P:$P,'Заёмные средства'!$F:$F,РасшифровкаЗатрат!$B28),0)</f>
        <v>-32465.277777777766</v>
      </c>
      <c r="K28" s="67">
        <f t="shared" si="3"/>
        <v>-32465.277777777766</v>
      </c>
    </row>
    <row r="29" spans="2:11" x14ac:dyDescent="0.25">
      <c r="B29" s="67">
        <f t="shared" si="5"/>
        <v>21</v>
      </c>
      <c r="C29" s="67">
        <f t="shared" si="4"/>
        <v>11</v>
      </c>
      <c r="D29" s="67">
        <f t="shared" si="0"/>
        <v>2019</v>
      </c>
      <c r="E29" s="122">
        <f t="shared" si="1"/>
        <v>43799</v>
      </c>
      <c r="F29" s="67">
        <f>IF(C24="Все",-SUMIFS('Постоянные затраты'!$H:$H,'Постоянные затраты'!$G:$G,"&lt;="&amp;$B29,'Постоянные затраты'!$B:$B,РасшифровкаЗатрат!F$7),-SUMIFS('Постоянные затраты'!$H:$H,'Постоянные затраты'!$G:$G,"&lt;="&amp;$B29,'Постоянные затраты'!$D:$D,$C$4,'Постоянные затраты'!$B:$B,РасшифровкаЗатрат!F$7))</f>
        <v>0</v>
      </c>
      <c r="G29" s="67">
        <f>IF(D24="Все",-SUMIFS('Постоянные затраты'!$H:$H,'Постоянные затраты'!$G:$G,"&lt;="&amp;$B29,'Постоянные затраты'!$B:$B,РасшифровкаЗатрат!G$7),-SUMIFS('Постоянные затраты'!$H:$H,'Постоянные затраты'!$G:$G,"&lt;="&amp;$B29,'Постоянные затраты'!$D:$D,$C$4,'Постоянные затраты'!$B:$B,РасшифровкаЗатрат!G$7))</f>
        <v>0</v>
      </c>
      <c r="H29" s="67">
        <f>IF(E24="Все",-SUMIFS('Постоянные затраты'!$H:$H,'Постоянные затраты'!$G:$G,"&lt;="&amp;$B29,'Постоянные затраты'!$B:$B,РасшифровкаЗатрат!H$7),-SUMIFS('Постоянные затраты'!$H:$H,'Постоянные затраты'!$G:$G,"&lt;="&amp;$B29,'Постоянные затраты'!$D:$D,$C$4,'Постоянные затраты'!$B:$B,РасшифровкаЗатрат!H$7))</f>
        <v>0</v>
      </c>
      <c r="I29" s="67">
        <f>IF(F24="Все",-SUMIFS('Постоянные затраты'!$H:$H,'Постоянные затраты'!$G:$G,"&lt;="&amp;$B29,'Постоянные затраты'!$B:$B,РасшифровкаЗатрат!I$7),-SUMIFS('Постоянные затраты'!$H:$H,'Постоянные затраты'!$G:$G,"&lt;="&amp;$B29,'Постоянные затраты'!$D:$D,$C$4,'Постоянные затраты'!$B:$B,РасшифровкаЗатрат!I$7))</f>
        <v>0</v>
      </c>
      <c r="J29" s="67">
        <f>-IF($C$4="Все",SUMIFS('Заёмные средства'!$P:$P,'Заёмные средства'!$F:$F,РасшифровкаЗатрат!$B29),0)</f>
        <v>-30555.555555555547</v>
      </c>
      <c r="K29" s="67">
        <f t="shared" si="3"/>
        <v>-30555.555555555547</v>
      </c>
    </row>
    <row r="30" spans="2:11" x14ac:dyDescent="0.25">
      <c r="B30" s="67">
        <f t="shared" si="5"/>
        <v>22</v>
      </c>
      <c r="C30" s="67">
        <f t="shared" si="4"/>
        <v>12</v>
      </c>
      <c r="D30" s="67">
        <f t="shared" si="0"/>
        <v>2019</v>
      </c>
      <c r="E30" s="122">
        <f t="shared" si="1"/>
        <v>43830</v>
      </c>
      <c r="F30" s="67">
        <f>IF(C25="Все",-SUMIFS('Постоянные затраты'!$H:$H,'Постоянные затраты'!$G:$G,"&lt;="&amp;$B30,'Постоянные затраты'!$B:$B,РасшифровкаЗатрат!F$7),-SUMIFS('Постоянные затраты'!$H:$H,'Постоянные затраты'!$G:$G,"&lt;="&amp;$B30,'Постоянные затраты'!$D:$D,$C$4,'Постоянные затраты'!$B:$B,РасшифровкаЗатрат!F$7))</f>
        <v>0</v>
      </c>
      <c r="G30" s="67">
        <f>IF(D25="Все",-SUMIFS('Постоянные затраты'!$H:$H,'Постоянные затраты'!$G:$G,"&lt;="&amp;$B30,'Постоянные затраты'!$B:$B,РасшифровкаЗатрат!G$7),-SUMIFS('Постоянные затраты'!$H:$H,'Постоянные затраты'!$G:$G,"&lt;="&amp;$B30,'Постоянные затраты'!$D:$D,$C$4,'Постоянные затраты'!$B:$B,РасшифровкаЗатрат!G$7))</f>
        <v>0</v>
      </c>
      <c r="H30" s="67">
        <f>IF(E25="Все",-SUMIFS('Постоянные затраты'!$H:$H,'Постоянные затраты'!$G:$G,"&lt;="&amp;$B30,'Постоянные затраты'!$B:$B,РасшифровкаЗатрат!H$7),-SUMIFS('Постоянные затраты'!$H:$H,'Постоянные затраты'!$G:$G,"&lt;="&amp;$B30,'Постоянные затраты'!$D:$D,$C$4,'Постоянные затраты'!$B:$B,РасшифровкаЗатрат!H$7))</f>
        <v>0</v>
      </c>
      <c r="I30" s="67">
        <f>IF(F25="Все",-SUMIFS('Постоянные затраты'!$H:$H,'Постоянные затраты'!$G:$G,"&lt;="&amp;$B30,'Постоянные затраты'!$B:$B,РасшифровкаЗатрат!I$7),-SUMIFS('Постоянные затраты'!$H:$H,'Постоянные затраты'!$G:$G,"&lt;="&amp;$B30,'Постоянные затраты'!$D:$D,$C$4,'Постоянные затраты'!$B:$B,РасшифровкаЗатрат!I$7))</f>
        <v>0</v>
      </c>
      <c r="J30" s="67">
        <f>-IF($C$4="Все",SUMIFS('Заёмные средства'!$P:$P,'Заёмные средства'!$F:$F,РасшифровкаЗатрат!$B30),0)</f>
        <v>-28645.833333333325</v>
      </c>
      <c r="K30" s="67">
        <f t="shared" si="3"/>
        <v>-28645.833333333325</v>
      </c>
    </row>
    <row r="31" spans="2:11" x14ac:dyDescent="0.25">
      <c r="B31" s="67">
        <f t="shared" si="5"/>
        <v>23</v>
      </c>
      <c r="C31" s="67">
        <f t="shared" si="4"/>
        <v>1</v>
      </c>
      <c r="D31" s="67">
        <f t="shared" si="0"/>
        <v>2020</v>
      </c>
      <c r="E31" s="122">
        <f t="shared" si="1"/>
        <v>43861</v>
      </c>
      <c r="F31" s="67">
        <f>IF(C26="Все",-SUMIFS('Постоянные затраты'!$H:$H,'Постоянные затраты'!$G:$G,"&lt;="&amp;$B31,'Постоянные затраты'!$B:$B,РасшифровкаЗатрат!F$7),-SUMIFS('Постоянные затраты'!$H:$H,'Постоянные затраты'!$G:$G,"&lt;="&amp;$B31,'Постоянные затраты'!$D:$D,$C$4,'Постоянные затраты'!$B:$B,РасшифровкаЗатрат!F$7))</f>
        <v>0</v>
      </c>
      <c r="G31" s="67">
        <f>IF(D26="Все",-SUMIFS('Постоянные затраты'!$H:$H,'Постоянные затраты'!$G:$G,"&lt;="&amp;$B31,'Постоянные затраты'!$B:$B,РасшифровкаЗатрат!G$7),-SUMIFS('Постоянные затраты'!$H:$H,'Постоянные затраты'!$G:$G,"&lt;="&amp;$B31,'Постоянные затраты'!$D:$D,$C$4,'Постоянные затраты'!$B:$B,РасшифровкаЗатрат!G$7))</f>
        <v>0</v>
      </c>
      <c r="H31" s="67">
        <f>IF(E26="Все",-SUMIFS('Постоянные затраты'!$H:$H,'Постоянные затраты'!$G:$G,"&lt;="&amp;$B31,'Постоянные затраты'!$B:$B,РасшифровкаЗатрат!H$7),-SUMIFS('Постоянные затраты'!$H:$H,'Постоянные затраты'!$G:$G,"&lt;="&amp;$B31,'Постоянные затраты'!$D:$D,$C$4,'Постоянные затраты'!$B:$B,РасшифровкаЗатрат!H$7))</f>
        <v>0</v>
      </c>
      <c r="I31" s="67">
        <f>IF(F26="Все",-SUMIFS('Постоянные затраты'!$H:$H,'Постоянные затраты'!$G:$G,"&lt;="&amp;$B31,'Постоянные затраты'!$B:$B,РасшифровкаЗатрат!I$7),-SUMIFS('Постоянные затраты'!$H:$H,'Постоянные затраты'!$G:$G,"&lt;="&amp;$B31,'Постоянные затраты'!$D:$D,$C$4,'Постоянные затраты'!$B:$B,РасшифровкаЗатрат!I$7))</f>
        <v>0</v>
      </c>
      <c r="J31" s="67">
        <f>-IF($C$4="Все",SUMIFS('Заёмные средства'!$P:$P,'Заёмные средства'!$F:$F,РасшифровкаЗатрат!$B31),0)</f>
        <v>-26736.111111111106</v>
      </c>
      <c r="K31" s="67">
        <f t="shared" si="3"/>
        <v>-26736.111111111106</v>
      </c>
    </row>
    <row r="32" spans="2:11" x14ac:dyDescent="0.25">
      <c r="B32" s="67">
        <f t="shared" si="5"/>
        <v>24</v>
      </c>
      <c r="C32" s="67">
        <f t="shared" si="4"/>
        <v>2</v>
      </c>
      <c r="D32" s="67">
        <f t="shared" si="0"/>
        <v>2020</v>
      </c>
      <c r="E32" s="122">
        <f t="shared" si="1"/>
        <v>43890</v>
      </c>
      <c r="F32" s="67">
        <f>IF(C27="Все",-SUMIFS('Постоянные затраты'!$H:$H,'Постоянные затраты'!$G:$G,"&lt;="&amp;$B32,'Постоянные затраты'!$B:$B,РасшифровкаЗатрат!F$7),-SUMIFS('Постоянные затраты'!$H:$H,'Постоянные затраты'!$G:$G,"&lt;="&amp;$B32,'Постоянные затраты'!$D:$D,$C$4,'Постоянные затраты'!$B:$B,РасшифровкаЗатрат!F$7))</f>
        <v>0</v>
      </c>
      <c r="G32" s="67">
        <f>IF(D27="Все",-SUMIFS('Постоянные затраты'!$H:$H,'Постоянные затраты'!$G:$G,"&lt;="&amp;$B32,'Постоянные затраты'!$B:$B,РасшифровкаЗатрат!G$7),-SUMIFS('Постоянные затраты'!$H:$H,'Постоянные затраты'!$G:$G,"&lt;="&amp;$B32,'Постоянные затраты'!$D:$D,$C$4,'Постоянные затраты'!$B:$B,РасшифровкаЗатрат!G$7))</f>
        <v>0</v>
      </c>
      <c r="H32" s="67">
        <f>IF(E27="Все",-SUMIFS('Постоянные затраты'!$H:$H,'Постоянные затраты'!$G:$G,"&lt;="&amp;$B32,'Постоянные затраты'!$B:$B,РасшифровкаЗатрат!H$7),-SUMIFS('Постоянные затраты'!$H:$H,'Постоянные затраты'!$G:$G,"&lt;="&amp;$B32,'Постоянные затраты'!$D:$D,$C$4,'Постоянные затраты'!$B:$B,РасшифровкаЗатрат!H$7))</f>
        <v>0</v>
      </c>
      <c r="I32" s="67">
        <f>IF(F27="Все",-SUMIFS('Постоянные затраты'!$H:$H,'Постоянные затраты'!$G:$G,"&lt;="&amp;$B32,'Постоянные затраты'!$B:$B,РасшифровкаЗатрат!I$7),-SUMIFS('Постоянные затраты'!$H:$H,'Постоянные затраты'!$G:$G,"&lt;="&amp;$B32,'Постоянные затраты'!$D:$D,$C$4,'Постоянные затраты'!$B:$B,РасшифровкаЗатрат!I$7))</f>
        <v>0</v>
      </c>
      <c r="J32" s="67">
        <f>-IF($C$4="Все",SUMIFS('Заёмные средства'!$P:$P,'Заёмные средства'!$F:$F,РасшифровкаЗатрат!$B32),0)</f>
        <v>-24826.388888888883</v>
      </c>
      <c r="K32" s="67">
        <f t="shared" si="3"/>
        <v>-24826.388888888883</v>
      </c>
    </row>
    <row r="33" spans="2:11" x14ac:dyDescent="0.25">
      <c r="B33" s="67">
        <f t="shared" si="5"/>
        <v>25</v>
      </c>
      <c r="C33" s="67">
        <f t="shared" si="4"/>
        <v>3</v>
      </c>
      <c r="D33" s="67">
        <f t="shared" si="0"/>
        <v>2020</v>
      </c>
      <c r="E33" s="122">
        <f t="shared" si="1"/>
        <v>43921</v>
      </c>
      <c r="F33" s="67">
        <f>IF(C28="Все",-SUMIFS('Постоянные затраты'!$H:$H,'Постоянные затраты'!$G:$G,"&lt;="&amp;$B33,'Постоянные затраты'!$B:$B,РасшифровкаЗатрат!F$7),-SUMIFS('Постоянные затраты'!$H:$H,'Постоянные затраты'!$G:$G,"&lt;="&amp;$B33,'Постоянные затраты'!$D:$D,$C$4,'Постоянные затраты'!$B:$B,РасшифровкаЗатрат!F$7))</f>
        <v>0</v>
      </c>
      <c r="G33" s="67">
        <f>IF(D28="Все",-SUMIFS('Постоянные затраты'!$H:$H,'Постоянные затраты'!$G:$G,"&lt;="&amp;$B33,'Постоянные затраты'!$B:$B,РасшифровкаЗатрат!G$7),-SUMIFS('Постоянные затраты'!$H:$H,'Постоянные затраты'!$G:$G,"&lt;="&amp;$B33,'Постоянные затраты'!$D:$D,$C$4,'Постоянные затраты'!$B:$B,РасшифровкаЗатрат!G$7))</f>
        <v>0</v>
      </c>
      <c r="H33" s="67">
        <f>IF(E28="Все",-SUMIFS('Постоянные затраты'!$H:$H,'Постоянные затраты'!$G:$G,"&lt;="&amp;$B33,'Постоянные затраты'!$B:$B,РасшифровкаЗатрат!H$7),-SUMIFS('Постоянные затраты'!$H:$H,'Постоянные затраты'!$G:$G,"&lt;="&amp;$B33,'Постоянные затраты'!$D:$D,$C$4,'Постоянные затраты'!$B:$B,РасшифровкаЗатрат!H$7))</f>
        <v>0</v>
      </c>
      <c r="I33" s="67">
        <f>IF(F28="Все",-SUMIFS('Постоянные затраты'!$H:$H,'Постоянные затраты'!$G:$G,"&lt;="&amp;$B33,'Постоянные затраты'!$B:$B,РасшифровкаЗатрат!I$7),-SUMIFS('Постоянные затраты'!$H:$H,'Постоянные затраты'!$G:$G,"&lt;="&amp;$B33,'Постоянные затраты'!$D:$D,$C$4,'Постоянные затраты'!$B:$B,РасшифровкаЗатрат!I$7))</f>
        <v>0</v>
      </c>
      <c r="J33" s="67">
        <f>-IF($C$4="Все",SUMIFS('Заёмные средства'!$P:$P,'Заёмные средства'!$F:$F,РасшифровкаЗатрат!$B33),0)</f>
        <v>-22916.666666666661</v>
      </c>
      <c r="K33" s="67">
        <f t="shared" si="3"/>
        <v>-22916.666666666661</v>
      </c>
    </row>
    <row r="34" spans="2:11" x14ac:dyDescent="0.25">
      <c r="B34" s="67">
        <f t="shared" si="5"/>
        <v>26</v>
      </c>
      <c r="C34" s="67">
        <f t="shared" si="4"/>
        <v>4</v>
      </c>
      <c r="D34" s="67">
        <f t="shared" si="0"/>
        <v>2020</v>
      </c>
      <c r="E34" s="122">
        <f t="shared" si="1"/>
        <v>43951</v>
      </c>
      <c r="F34" s="67">
        <f>IF(C29="Все",-SUMIFS('Постоянные затраты'!$H:$H,'Постоянные затраты'!$G:$G,"&lt;="&amp;$B34,'Постоянные затраты'!$B:$B,РасшифровкаЗатрат!F$7),-SUMIFS('Постоянные затраты'!$H:$H,'Постоянные затраты'!$G:$G,"&lt;="&amp;$B34,'Постоянные затраты'!$D:$D,$C$4,'Постоянные затраты'!$B:$B,РасшифровкаЗатрат!F$7))</f>
        <v>0</v>
      </c>
      <c r="G34" s="67">
        <f>IF(D29="Все",-SUMIFS('Постоянные затраты'!$H:$H,'Постоянные затраты'!$G:$G,"&lt;="&amp;$B34,'Постоянные затраты'!$B:$B,РасшифровкаЗатрат!G$7),-SUMIFS('Постоянные затраты'!$H:$H,'Постоянные затраты'!$G:$G,"&lt;="&amp;$B34,'Постоянные затраты'!$D:$D,$C$4,'Постоянные затраты'!$B:$B,РасшифровкаЗатрат!G$7))</f>
        <v>0</v>
      </c>
      <c r="H34" s="67">
        <f>IF(E29="Все",-SUMIFS('Постоянные затраты'!$H:$H,'Постоянные затраты'!$G:$G,"&lt;="&amp;$B34,'Постоянные затраты'!$B:$B,РасшифровкаЗатрат!H$7),-SUMIFS('Постоянные затраты'!$H:$H,'Постоянные затраты'!$G:$G,"&lt;="&amp;$B34,'Постоянные затраты'!$D:$D,$C$4,'Постоянные затраты'!$B:$B,РасшифровкаЗатрат!H$7))</f>
        <v>0</v>
      </c>
      <c r="I34" s="67">
        <f>IF(F29="Все",-SUMIFS('Постоянные затраты'!$H:$H,'Постоянные затраты'!$G:$G,"&lt;="&amp;$B34,'Постоянные затраты'!$B:$B,РасшифровкаЗатрат!I$7),-SUMIFS('Постоянные затраты'!$H:$H,'Постоянные затраты'!$G:$G,"&lt;="&amp;$B34,'Постоянные затраты'!$D:$D,$C$4,'Постоянные затраты'!$B:$B,РасшифровкаЗатрат!I$7))</f>
        <v>0</v>
      </c>
      <c r="J34" s="67">
        <f>-IF($C$4="Все",SUMIFS('Заёмные средства'!$P:$P,'Заёмные средства'!$F:$F,РасшифровкаЗатрат!$B34),0)</f>
        <v>-21006.944444444438</v>
      </c>
      <c r="K34" s="67">
        <f t="shared" si="3"/>
        <v>-21006.944444444438</v>
      </c>
    </row>
    <row r="35" spans="2:11" x14ac:dyDescent="0.25">
      <c r="B35" s="67">
        <f t="shared" si="5"/>
        <v>27</v>
      </c>
      <c r="C35" s="67">
        <f t="shared" si="4"/>
        <v>5</v>
      </c>
      <c r="D35" s="67">
        <f t="shared" si="0"/>
        <v>2020</v>
      </c>
      <c r="E35" s="122">
        <f t="shared" si="1"/>
        <v>43982</v>
      </c>
      <c r="F35" s="67">
        <f>IF(C30="Все",-SUMIFS('Постоянные затраты'!$H:$H,'Постоянные затраты'!$G:$G,"&lt;="&amp;$B35,'Постоянные затраты'!$B:$B,РасшифровкаЗатрат!F$7),-SUMIFS('Постоянные затраты'!$H:$H,'Постоянные затраты'!$G:$G,"&lt;="&amp;$B35,'Постоянные затраты'!$D:$D,$C$4,'Постоянные затраты'!$B:$B,РасшифровкаЗатрат!F$7))</f>
        <v>0</v>
      </c>
      <c r="G35" s="67">
        <f>IF(D30="Все",-SUMIFS('Постоянные затраты'!$H:$H,'Постоянные затраты'!$G:$G,"&lt;="&amp;$B35,'Постоянные затраты'!$B:$B,РасшифровкаЗатрат!G$7),-SUMIFS('Постоянные затраты'!$H:$H,'Постоянные затраты'!$G:$G,"&lt;="&amp;$B35,'Постоянные затраты'!$D:$D,$C$4,'Постоянные затраты'!$B:$B,РасшифровкаЗатрат!G$7))</f>
        <v>0</v>
      </c>
      <c r="H35" s="67">
        <f>IF(E30="Все",-SUMIFS('Постоянные затраты'!$H:$H,'Постоянные затраты'!$G:$G,"&lt;="&amp;$B35,'Постоянные затраты'!$B:$B,РасшифровкаЗатрат!H$7),-SUMIFS('Постоянные затраты'!$H:$H,'Постоянные затраты'!$G:$G,"&lt;="&amp;$B35,'Постоянные затраты'!$D:$D,$C$4,'Постоянные затраты'!$B:$B,РасшифровкаЗатрат!H$7))</f>
        <v>0</v>
      </c>
      <c r="I35" s="67">
        <f>IF(F30="Все",-SUMIFS('Постоянные затраты'!$H:$H,'Постоянные затраты'!$G:$G,"&lt;="&amp;$B35,'Постоянные затраты'!$B:$B,РасшифровкаЗатрат!I$7),-SUMIFS('Постоянные затраты'!$H:$H,'Постоянные затраты'!$G:$G,"&lt;="&amp;$B35,'Постоянные затраты'!$D:$D,$C$4,'Постоянные затраты'!$B:$B,РасшифровкаЗатрат!I$7))</f>
        <v>0</v>
      </c>
      <c r="J35" s="67">
        <f>-IF($C$4="Все",SUMIFS('Заёмные средства'!$P:$P,'Заёмные средства'!$F:$F,РасшифровкаЗатрат!$B35),0)</f>
        <v>-19097.222222222219</v>
      </c>
      <c r="K35" s="67">
        <f t="shared" si="3"/>
        <v>-19097.222222222219</v>
      </c>
    </row>
    <row r="36" spans="2:11" x14ac:dyDescent="0.25">
      <c r="B36" s="67">
        <f t="shared" si="5"/>
        <v>28</v>
      </c>
      <c r="C36" s="67">
        <f t="shared" si="4"/>
        <v>6</v>
      </c>
      <c r="D36" s="67">
        <f t="shared" si="0"/>
        <v>2020</v>
      </c>
      <c r="E36" s="122">
        <f t="shared" si="1"/>
        <v>44012</v>
      </c>
      <c r="F36" s="67">
        <f>IF(C31="Все",-SUMIFS('Постоянные затраты'!$H:$H,'Постоянные затраты'!$G:$G,"&lt;="&amp;$B36,'Постоянные затраты'!$B:$B,РасшифровкаЗатрат!F$7),-SUMIFS('Постоянные затраты'!$H:$H,'Постоянные затраты'!$G:$G,"&lt;="&amp;$B36,'Постоянные затраты'!$D:$D,$C$4,'Постоянные затраты'!$B:$B,РасшифровкаЗатрат!F$7))</f>
        <v>0</v>
      </c>
      <c r="G36" s="67">
        <f>IF(D31="Все",-SUMIFS('Постоянные затраты'!$H:$H,'Постоянные затраты'!$G:$G,"&lt;="&amp;$B36,'Постоянные затраты'!$B:$B,РасшифровкаЗатрат!G$7),-SUMIFS('Постоянные затраты'!$H:$H,'Постоянные затраты'!$G:$G,"&lt;="&amp;$B36,'Постоянные затраты'!$D:$D,$C$4,'Постоянные затраты'!$B:$B,РасшифровкаЗатрат!G$7))</f>
        <v>0</v>
      </c>
      <c r="H36" s="67">
        <f>IF(E31="Все",-SUMIFS('Постоянные затраты'!$H:$H,'Постоянные затраты'!$G:$G,"&lt;="&amp;$B36,'Постоянные затраты'!$B:$B,РасшифровкаЗатрат!H$7),-SUMIFS('Постоянные затраты'!$H:$H,'Постоянные затраты'!$G:$G,"&lt;="&amp;$B36,'Постоянные затраты'!$D:$D,$C$4,'Постоянные затраты'!$B:$B,РасшифровкаЗатрат!H$7))</f>
        <v>0</v>
      </c>
      <c r="I36" s="67">
        <f>IF(F31="Все",-SUMIFS('Постоянные затраты'!$H:$H,'Постоянные затраты'!$G:$G,"&lt;="&amp;$B36,'Постоянные затраты'!$B:$B,РасшифровкаЗатрат!I$7),-SUMIFS('Постоянные затраты'!$H:$H,'Постоянные затраты'!$G:$G,"&lt;="&amp;$B36,'Постоянные затраты'!$D:$D,$C$4,'Постоянные затраты'!$B:$B,РасшифровкаЗатрат!I$7))</f>
        <v>0</v>
      </c>
      <c r="J36" s="67">
        <f>-IF($C$4="Все",SUMIFS('Заёмные средства'!$P:$P,'Заёмные средства'!$F:$F,РасшифровкаЗатрат!$B36),0)</f>
        <v>-17187.499999999996</v>
      </c>
      <c r="K36" s="67">
        <f t="shared" si="3"/>
        <v>-17187.499999999996</v>
      </c>
    </row>
    <row r="37" spans="2:11" x14ac:dyDescent="0.25">
      <c r="B37" s="67">
        <f t="shared" si="5"/>
        <v>29</v>
      </c>
      <c r="C37" s="67">
        <f t="shared" si="4"/>
        <v>7</v>
      </c>
      <c r="D37" s="67">
        <f t="shared" si="0"/>
        <v>2020</v>
      </c>
      <c r="E37" s="122">
        <f t="shared" si="1"/>
        <v>44043</v>
      </c>
      <c r="F37" s="67">
        <f>IF(C32="Все",-SUMIFS('Постоянные затраты'!$H:$H,'Постоянные затраты'!$G:$G,"&lt;="&amp;$B37,'Постоянные затраты'!$B:$B,РасшифровкаЗатрат!F$7),-SUMIFS('Постоянные затраты'!$H:$H,'Постоянные затраты'!$G:$G,"&lt;="&amp;$B37,'Постоянные затраты'!$D:$D,$C$4,'Постоянные затраты'!$B:$B,РасшифровкаЗатрат!F$7))</f>
        <v>0</v>
      </c>
      <c r="G37" s="67">
        <f>IF(D32="Все",-SUMIFS('Постоянные затраты'!$H:$H,'Постоянные затраты'!$G:$G,"&lt;="&amp;$B37,'Постоянные затраты'!$B:$B,РасшифровкаЗатрат!G$7),-SUMIFS('Постоянные затраты'!$H:$H,'Постоянные затраты'!$G:$G,"&lt;="&amp;$B37,'Постоянные затраты'!$D:$D,$C$4,'Постоянные затраты'!$B:$B,РасшифровкаЗатрат!G$7))</f>
        <v>0</v>
      </c>
      <c r="H37" s="67">
        <f>IF(E32="Все",-SUMIFS('Постоянные затраты'!$H:$H,'Постоянные затраты'!$G:$G,"&lt;="&amp;$B37,'Постоянные затраты'!$B:$B,РасшифровкаЗатрат!H$7),-SUMIFS('Постоянные затраты'!$H:$H,'Постоянные затраты'!$G:$G,"&lt;="&amp;$B37,'Постоянные затраты'!$D:$D,$C$4,'Постоянные затраты'!$B:$B,РасшифровкаЗатрат!H$7))</f>
        <v>0</v>
      </c>
      <c r="I37" s="67">
        <f>IF(F32="Все",-SUMIFS('Постоянные затраты'!$H:$H,'Постоянные затраты'!$G:$G,"&lt;="&amp;$B37,'Постоянные затраты'!$B:$B,РасшифровкаЗатрат!I$7),-SUMIFS('Постоянные затраты'!$H:$H,'Постоянные затраты'!$G:$G,"&lt;="&amp;$B37,'Постоянные затраты'!$D:$D,$C$4,'Постоянные затраты'!$B:$B,РасшифровкаЗатрат!I$7))</f>
        <v>0</v>
      </c>
      <c r="J37" s="67">
        <f>-IF($C$4="Все",SUMIFS('Заёмные средства'!$P:$P,'Заёмные средства'!$F:$F,РасшифровкаЗатрат!$B37),0)</f>
        <v>-15277.777777777774</v>
      </c>
      <c r="K37" s="67">
        <f t="shared" si="3"/>
        <v>-15277.777777777774</v>
      </c>
    </row>
    <row r="38" spans="2:11" x14ac:dyDescent="0.25">
      <c r="B38" s="67">
        <f t="shared" si="5"/>
        <v>30</v>
      </c>
      <c r="C38" s="67">
        <f t="shared" si="4"/>
        <v>8</v>
      </c>
      <c r="D38" s="67">
        <f t="shared" si="0"/>
        <v>2020</v>
      </c>
      <c r="E38" s="122">
        <f t="shared" si="1"/>
        <v>44074</v>
      </c>
      <c r="F38" s="67">
        <f>IF(C33="Все",-SUMIFS('Постоянные затраты'!$H:$H,'Постоянные затраты'!$G:$G,"&lt;="&amp;$B38,'Постоянные затраты'!$B:$B,РасшифровкаЗатрат!F$7),-SUMIFS('Постоянные затраты'!$H:$H,'Постоянные затраты'!$G:$G,"&lt;="&amp;$B38,'Постоянные затраты'!$D:$D,$C$4,'Постоянные затраты'!$B:$B,РасшифровкаЗатрат!F$7))</f>
        <v>0</v>
      </c>
      <c r="G38" s="67">
        <f>IF(D33="Все",-SUMIFS('Постоянные затраты'!$H:$H,'Постоянные затраты'!$G:$G,"&lt;="&amp;$B38,'Постоянные затраты'!$B:$B,РасшифровкаЗатрат!G$7),-SUMIFS('Постоянные затраты'!$H:$H,'Постоянные затраты'!$G:$G,"&lt;="&amp;$B38,'Постоянные затраты'!$D:$D,$C$4,'Постоянные затраты'!$B:$B,РасшифровкаЗатрат!G$7))</f>
        <v>0</v>
      </c>
      <c r="H38" s="67">
        <f>IF(E33="Все",-SUMIFS('Постоянные затраты'!$H:$H,'Постоянные затраты'!$G:$G,"&lt;="&amp;$B38,'Постоянные затраты'!$B:$B,РасшифровкаЗатрат!H$7),-SUMIFS('Постоянные затраты'!$H:$H,'Постоянные затраты'!$G:$G,"&lt;="&amp;$B38,'Постоянные затраты'!$D:$D,$C$4,'Постоянные затраты'!$B:$B,РасшифровкаЗатрат!H$7))</f>
        <v>0</v>
      </c>
      <c r="I38" s="67">
        <f>IF(F33="Все",-SUMIFS('Постоянные затраты'!$H:$H,'Постоянные затраты'!$G:$G,"&lt;="&amp;$B38,'Постоянные затраты'!$B:$B,РасшифровкаЗатрат!I$7),-SUMIFS('Постоянные затраты'!$H:$H,'Постоянные затраты'!$G:$G,"&lt;="&amp;$B38,'Постоянные затраты'!$D:$D,$C$4,'Постоянные затраты'!$B:$B,РасшифровкаЗатрат!I$7))</f>
        <v>0</v>
      </c>
      <c r="J38" s="67">
        <f>-IF($C$4="Все",SUMIFS('Заёмные средства'!$P:$P,'Заёмные средства'!$F:$F,РасшифровкаЗатрат!$B38),0)</f>
        <v>-13368.055555555553</v>
      </c>
      <c r="K38" s="67">
        <f t="shared" si="3"/>
        <v>-13368.055555555553</v>
      </c>
    </row>
    <row r="39" spans="2:11" x14ac:dyDescent="0.25">
      <c r="B39" s="67">
        <f t="shared" si="5"/>
        <v>31</v>
      </c>
      <c r="C39" s="67">
        <f t="shared" si="4"/>
        <v>9</v>
      </c>
      <c r="D39" s="67">
        <f t="shared" si="0"/>
        <v>2020</v>
      </c>
      <c r="E39" s="122">
        <f t="shared" si="1"/>
        <v>44104</v>
      </c>
      <c r="F39" s="67">
        <f>IF(C34="Все",-SUMIFS('Постоянные затраты'!$H:$H,'Постоянные затраты'!$G:$G,"&lt;="&amp;$B39,'Постоянные затраты'!$B:$B,РасшифровкаЗатрат!F$7),-SUMIFS('Постоянные затраты'!$H:$H,'Постоянные затраты'!$G:$G,"&lt;="&amp;$B39,'Постоянные затраты'!$D:$D,$C$4,'Постоянные затраты'!$B:$B,РасшифровкаЗатрат!F$7))</f>
        <v>0</v>
      </c>
      <c r="G39" s="67">
        <f>IF(D34="Все",-SUMIFS('Постоянные затраты'!$H:$H,'Постоянные затраты'!$G:$G,"&lt;="&amp;$B39,'Постоянные затраты'!$B:$B,РасшифровкаЗатрат!G$7),-SUMIFS('Постоянные затраты'!$H:$H,'Постоянные затраты'!$G:$G,"&lt;="&amp;$B39,'Постоянные затраты'!$D:$D,$C$4,'Постоянные затраты'!$B:$B,РасшифровкаЗатрат!G$7))</f>
        <v>0</v>
      </c>
      <c r="H39" s="67">
        <f>IF(E34="Все",-SUMIFS('Постоянные затраты'!$H:$H,'Постоянные затраты'!$G:$G,"&lt;="&amp;$B39,'Постоянные затраты'!$B:$B,РасшифровкаЗатрат!H$7),-SUMIFS('Постоянные затраты'!$H:$H,'Постоянные затраты'!$G:$G,"&lt;="&amp;$B39,'Постоянные затраты'!$D:$D,$C$4,'Постоянные затраты'!$B:$B,РасшифровкаЗатрат!H$7))</f>
        <v>0</v>
      </c>
      <c r="I39" s="67">
        <f>IF(F34="Все",-SUMIFS('Постоянные затраты'!$H:$H,'Постоянные затраты'!$G:$G,"&lt;="&amp;$B39,'Постоянные затраты'!$B:$B,РасшифровкаЗатрат!I$7),-SUMIFS('Постоянные затраты'!$H:$H,'Постоянные затраты'!$G:$G,"&lt;="&amp;$B39,'Постоянные затраты'!$D:$D,$C$4,'Постоянные затраты'!$B:$B,РасшифровкаЗатрат!I$7))</f>
        <v>0</v>
      </c>
      <c r="J39" s="67">
        <f>-IF($C$4="Все",SUMIFS('Заёмные средства'!$P:$P,'Заёмные средства'!$F:$F,РасшифровкаЗатрат!$B39),0)</f>
        <v>-11458.33333333333</v>
      </c>
      <c r="K39" s="67">
        <f t="shared" si="3"/>
        <v>-11458.33333333333</v>
      </c>
    </row>
    <row r="40" spans="2:11" x14ac:dyDescent="0.25">
      <c r="B40" s="67">
        <f t="shared" si="5"/>
        <v>32</v>
      </c>
      <c r="C40" s="67">
        <f t="shared" si="4"/>
        <v>10</v>
      </c>
      <c r="D40" s="67">
        <f t="shared" si="0"/>
        <v>2020</v>
      </c>
      <c r="E40" s="122">
        <f t="shared" si="1"/>
        <v>44135</v>
      </c>
      <c r="F40" s="67">
        <f>IF(C35="Все",-SUMIFS('Постоянные затраты'!$H:$H,'Постоянные затраты'!$G:$G,"&lt;="&amp;$B40,'Постоянные затраты'!$B:$B,РасшифровкаЗатрат!F$7),-SUMIFS('Постоянные затраты'!$H:$H,'Постоянные затраты'!$G:$G,"&lt;="&amp;$B40,'Постоянные затраты'!$D:$D,$C$4,'Постоянные затраты'!$B:$B,РасшифровкаЗатрат!F$7))</f>
        <v>0</v>
      </c>
      <c r="G40" s="67">
        <f>IF(D35="Все",-SUMIFS('Постоянные затраты'!$H:$H,'Постоянные затраты'!$G:$G,"&lt;="&amp;$B40,'Постоянные затраты'!$B:$B,РасшифровкаЗатрат!G$7),-SUMIFS('Постоянные затраты'!$H:$H,'Постоянные затраты'!$G:$G,"&lt;="&amp;$B40,'Постоянные затраты'!$D:$D,$C$4,'Постоянные затраты'!$B:$B,РасшифровкаЗатрат!G$7))</f>
        <v>0</v>
      </c>
      <c r="H40" s="67">
        <f>IF(E35="Все",-SUMIFS('Постоянные затраты'!$H:$H,'Постоянные затраты'!$G:$G,"&lt;="&amp;$B40,'Постоянные затраты'!$B:$B,РасшифровкаЗатрат!H$7),-SUMIFS('Постоянные затраты'!$H:$H,'Постоянные затраты'!$G:$G,"&lt;="&amp;$B40,'Постоянные затраты'!$D:$D,$C$4,'Постоянные затраты'!$B:$B,РасшифровкаЗатрат!H$7))</f>
        <v>0</v>
      </c>
      <c r="I40" s="67">
        <f>IF(F35="Все",-SUMIFS('Постоянные затраты'!$H:$H,'Постоянные затраты'!$G:$G,"&lt;="&amp;$B40,'Постоянные затраты'!$B:$B,РасшифровкаЗатрат!I$7),-SUMIFS('Постоянные затраты'!$H:$H,'Постоянные затраты'!$G:$G,"&lt;="&amp;$B40,'Постоянные затраты'!$D:$D,$C$4,'Постоянные затраты'!$B:$B,РасшифровкаЗатрат!I$7))</f>
        <v>0</v>
      </c>
      <c r="J40" s="67">
        <f>-IF($C$4="Все",SUMIFS('Заёмные средства'!$P:$P,'Заёмные средства'!$F:$F,РасшифровкаЗатрат!$B40),0)</f>
        <v>-9548.6111111111095</v>
      </c>
      <c r="K40" s="67">
        <f t="shared" si="3"/>
        <v>-9548.6111111111095</v>
      </c>
    </row>
    <row r="41" spans="2:11" x14ac:dyDescent="0.25">
      <c r="B41" s="67">
        <f t="shared" si="5"/>
        <v>33</v>
      </c>
      <c r="C41" s="67">
        <f t="shared" si="4"/>
        <v>11</v>
      </c>
      <c r="D41" s="67">
        <f t="shared" si="0"/>
        <v>2020</v>
      </c>
      <c r="E41" s="122">
        <f t="shared" si="1"/>
        <v>44165</v>
      </c>
      <c r="F41" s="67">
        <f>IF(C36="Все",-SUMIFS('Постоянные затраты'!$H:$H,'Постоянные затраты'!$G:$G,"&lt;="&amp;$B41,'Постоянные затраты'!$B:$B,РасшифровкаЗатрат!F$7),-SUMIFS('Постоянные затраты'!$H:$H,'Постоянные затраты'!$G:$G,"&lt;="&amp;$B41,'Постоянные затраты'!$D:$D,$C$4,'Постоянные затраты'!$B:$B,РасшифровкаЗатрат!F$7))</f>
        <v>0</v>
      </c>
      <c r="G41" s="67">
        <f>IF(D36="Все",-SUMIFS('Постоянные затраты'!$H:$H,'Постоянные затраты'!$G:$G,"&lt;="&amp;$B41,'Постоянные затраты'!$B:$B,РасшифровкаЗатрат!G$7),-SUMIFS('Постоянные затраты'!$H:$H,'Постоянные затраты'!$G:$G,"&lt;="&amp;$B41,'Постоянные затраты'!$D:$D,$C$4,'Постоянные затраты'!$B:$B,РасшифровкаЗатрат!G$7))</f>
        <v>0</v>
      </c>
      <c r="H41" s="67">
        <f>IF(E36="Все",-SUMIFS('Постоянные затраты'!$H:$H,'Постоянные затраты'!$G:$G,"&lt;="&amp;$B41,'Постоянные затраты'!$B:$B,РасшифровкаЗатрат!H$7),-SUMIFS('Постоянные затраты'!$H:$H,'Постоянные затраты'!$G:$G,"&lt;="&amp;$B41,'Постоянные затраты'!$D:$D,$C$4,'Постоянные затраты'!$B:$B,РасшифровкаЗатрат!H$7))</f>
        <v>0</v>
      </c>
      <c r="I41" s="67">
        <f>IF(F36="Все",-SUMIFS('Постоянные затраты'!$H:$H,'Постоянные затраты'!$G:$G,"&lt;="&amp;$B41,'Постоянные затраты'!$B:$B,РасшифровкаЗатрат!I$7),-SUMIFS('Постоянные затраты'!$H:$H,'Постоянные затраты'!$G:$G,"&lt;="&amp;$B41,'Постоянные затраты'!$D:$D,$C$4,'Постоянные затраты'!$B:$B,РасшифровкаЗатрат!I$7))</f>
        <v>0</v>
      </c>
      <c r="J41" s="67">
        <f>-IF($C$4="Все",SUMIFS('Заёмные средства'!$P:$P,'Заёмные средства'!$F:$F,РасшифровкаЗатрат!$B41),0)</f>
        <v>-7638.8888888888869</v>
      </c>
      <c r="K41" s="67">
        <f t="shared" si="3"/>
        <v>-7638.8888888888869</v>
      </c>
    </row>
    <row r="42" spans="2:11" x14ac:dyDescent="0.25">
      <c r="B42" s="67">
        <f t="shared" si="5"/>
        <v>34</v>
      </c>
      <c r="C42" s="67">
        <f t="shared" si="4"/>
        <v>12</v>
      </c>
      <c r="D42" s="67">
        <f t="shared" si="0"/>
        <v>2020</v>
      </c>
      <c r="E42" s="122">
        <f t="shared" si="1"/>
        <v>44196</v>
      </c>
      <c r="F42" s="67">
        <f>IF(C37="Все",-SUMIFS('Постоянные затраты'!$H:$H,'Постоянные затраты'!$G:$G,"&lt;="&amp;$B42,'Постоянные затраты'!$B:$B,РасшифровкаЗатрат!F$7),-SUMIFS('Постоянные затраты'!$H:$H,'Постоянные затраты'!$G:$G,"&lt;="&amp;$B42,'Постоянные затраты'!$D:$D,$C$4,'Постоянные затраты'!$B:$B,РасшифровкаЗатрат!F$7))</f>
        <v>0</v>
      </c>
      <c r="G42" s="67">
        <f>IF(D37="Все",-SUMIFS('Постоянные затраты'!$H:$H,'Постоянные затраты'!$G:$G,"&lt;="&amp;$B42,'Постоянные затраты'!$B:$B,РасшифровкаЗатрат!G$7),-SUMIFS('Постоянные затраты'!$H:$H,'Постоянные затраты'!$G:$G,"&lt;="&amp;$B42,'Постоянные затраты'!$D:$D,$C$4,'Постоянные затраты'!$B:$B,РасшифровкаЗатрат!G$7))</f>
        <v>0</v>
      </c>
      <c r="H42" s="67">
        <f>IF(E37="Все",-SUMIFS('Постоянные затраты'!$H:$H,'Постоянные затраты'!$G:$G,"&lt;="&amp;$B42,'Постоянные затраты'!$B:$B,РасшифровкаЗатрат!H$7),-SUMIFS('Постоянные затраты'!$H:$H,'Постоянные затраты'!$G:$G,"&lt;="&amp;$B42,'Постоянные затраты'!$D:$D,$C$4,'Постоянные затраты'!$B:$B,РасшифровкаЗатрат!H$7))</f>
        <v>0</v>
      </c>
      <c r="I42" s="67">
        <f>IF(F37="Все",-SUMIFS('Постоянные затраты'!$H:$H,'Постоянные затраты'!$G:$G,"&lt;="&amp;$B42,'Постоянные затраты'!$B:$B,РасшифровкаЗатрат!I$7),-SUMIFS('Постоянные затраты'!$H:$H,'Постоянные затраты'!$G:$G,"&lt;="&amp;$B42,'Постоянные затраты'!$D:$D,$C$4,'Постоянные затраты'!$B:$B,РасшифровкаЗатрат!I$7))</f>
        <v>0</v>
      </c>
      <c r="J42" s="67">
        <f>-IF($C$4="Все",SUMIFS('Заёмные средства'!$P:$P,'Заёмные средства'!$F:$F,РасшифровкаЗатрат!$B42),0)</f>
        <v>-5729.1666666666652</v>
      </c>
      <c r="K42" s="67">
        <f t="shared" si="3"/>
        <v>-5729.1666666666652</v>
      </c>
    </row>
    <row r="43" spans="2:11" x14ac:dyDescent="0.25">
      <c r="B43" s="67">
        <f t="shared" si="5"/>
        <v>35</v>
      </c>
      <c r="C43" s="67">
        <f t="shared" si="4"/>
        <v>1</v>
      </c>
      <c r="D43" s="67">
        <f t="shared" si="0"/>
        <v>2021</v>
      </c>
      <c r="E43" s="122">
        <f t="shared" si="1"/>
        <v>44227</v>
      </c>
      <c r="F43" s="67">
        <f>IF(C38="Все",-SUMIFS('Постоянные затраты'!$H:$H,'Постоянные затраты'!$G:$G,"&lt;="&amp;$B43,'Постоянные затраты'!$B:$B,РасшифровкаЗатрат!F$7),-SUMIFS('Постоянные затраты'!$H:$H,'Постоянные затраты'!$G:$G,"&lt;="&amp;$B43,'Постоянные затраты'!$D:$D,$C$4,'Постоянные затраты'!$B:$B,РасшифровкаЗатрат!F$7))</f>
        <v>0</v>
      </c>
      <c r="G43" s="67">
        <f>IF(D38="Все",-SUMIFS('Постоянные затраты'!$H:$H,'Постоянные затраты'!$G:$G,"&lt;="&amp;$B43,'Постоянные затраты'!$B:$B,РасшифровкаЗатрат!G$7),-SUMIFS('Постоянные затраты'!$H:$H,'Постоянные затраты'!$G:$G,"&lt;="&amp;$B43,'Постоянные затраты'!$D:$D,$C$4,'Постоянные затраты'!$B:$B,РасшифровкаЗатрат!G$7))</f>
        <v>0</v>
      </c>
      <c r="H43" s="67">
        <f>IF(E38="Все",-SUMIFS('Постоянные затраты'!$H:$H,'Постоянные затраты'!$G:$G,"&lt;="&amp;$B43,'Постоянные затраты'!$B:$B,РасшифровкаЗатрат!H$7),-SUMIFS('Постоянные затраты'!$H:$H,'Постоянные затраты'!$G:$G,"&lt;="&amp;$B43,'Постоянные затраты'!$D:$D,$C$4,'Постоянные затраты'!$B:$B,РасшифровкаЗатрат!H$7))</f>
        <v>0</v>
      </c>
      <c r="I43" s="67">
        <f>IF(F38="Все",-SUMIFS('Постоянные затраты'!$H:$H,'Постоянные затраты'!$G:$G,"&lt;="&amp;$B43,'Постоянные затраты'!$B:$B,РасшифровкаЗатрат!I$7),-SUMIFS('Постоянные затраты'!$H:$H,'Постоянные затраты'!$G:$G,"&lt;="&amp;$B43,'Постоянные затраты'!$D:$D,$C$4,'Постоянные затраты'!$B:$B,РасшифровкаЗатрат!I$7))</f>
        <v>0</v>
      </c>
      <c r="J43" s="67">
        <f>-IF($C$4="Все",SUMIFS('Заёмные средства'!$P:$P,'Заёмные средства'!$F:$F,РасшифровкаЗатрат!$B43),0)</f>
        <v>-3819.4444444444434</v>
      </c>
      <c r="K43" s="67">
        <f t="shared" si="3"/>
        <v>-3819.4444444444434</v>
      </c>
    </row>
    <row r="44" spans="2:11" x14ac:dyDescent="0.25">
      <c r="B44" s="67">
        <f t="shared" si="5"/>
        <v>36</v>
      </c>
      <c r="C44" s="67">
        <f t="shared" si="4"/>
        <v>2</v>
      </c>
      <c r="D44" s="67">
        <f t="shared" si="0"/>
        <v>2021</v>
      </c>
      <c r="E44" s="122">
        <f t="shared" si="1"/>
        <v>44255</v>
      </c>
      <c r="F44" s="67">
        <f>IF(C39="Все",-SUMIFS('Постоянные затраты'!$H:$H,'Постоянные затраты'!$G:$G,"&lt;="&amp;$B44,'Постоянные затраты'!$B:$B,РасшифровкаЗатрат!F$7),-SUMIFS('Постоянные затраты'!$H:$H,'Постоянные затраты'!$G:$G,"&lt;="&amp;$B44,'Постоянные затраты'!$D:$D,$C$4,'Постоянные затраты'!$B:$B,РасшифровкаЗатрат!F$7))</f>
        <v>0</v>
      </c>
      <c r="G44" s="67">
        <f>IF(D39="Все",-SUMIFS('Постоянные затраты'!$H:$H,'Постоянные затраты'!$G:$G,"&lt;="&amp;$B44,'Постоянные затраты'!$B:$B,РасшифровкаЗатрат!G$7),-SUMIFS('Постоянные затраты'!$H:$H,'Постоянные затраты'!$G:$G,"&lt;="&amp;$B44,'Постоянные затраты'!$D:$D,$C$4,'Постоянные затраты'!$B:$B,РасшифровкаЗатрат!G$7))</f>
        <v>0</v>
      </c>
      <c r="H44" s="67">
        <f>IF(E39="Все",-SUMIFS('Постоянные затраты'!$H:$H,'Постоянные затраты'!$G:$G,"&lt;="&amp;$B44,'Постоянные затраты'!$B:$B,РасшифровкаЗатрат!H$7),-SUMIFS('Постоянные затраты'!$H:$H,'Постоянные затраты'!$G:$G,"&lt;="&amp;$B44,'Постоянные затраты'!$D:$D,$C$4,'Постоянные затраты'!$B:$B,РасшифровкаЗатрат!H$7))</f>
        <v>0</v>
      </c>
      <c r="I44" s="67">
        <f>IF(F39="Все",-SUMIFS('Постоянные затраты'!$H:$H,'Постоянные затраты'!$G:$G,"&lt;="&amp;$B44,'Постоянные затраты'!$B:$B,РасшифровкаЗатрат!I$7),-SUMIFS('Постоянные затраты'!$H:$H,'Постоянные затраты'!$G:$G,"&lt;="&amp;$B44,'Постоянные затраты'!$D:$D,$C$4,'Постоянные затраты'!$B:$B,РасшифровкаЗатрат!I$7))</f>
        <v>0</v>
      </c>
      <c r="J44" s="67">
        <f>-IF($C$4="Все",SUMIFS('Заёмные средства'!$P:$P,'Заёмные средства'!$F:$F,РасшифровкаЗатрат!$B44),0)</f>
        <v>-1909.7222222222217</v>
      </c>
      <c r="K44" s="67">
        <f t="shared" si="3"/>
        <v>-1909.7222222222217</v>
      </c>
    </row>
    <row r="45" spans="2:11" x14ac:dyDescent="0.25">
      <c r="B45" s="67">
        <f t="shared" si="5"/>
        <v>37</v>
      </c>
      <c r="C45" s="67">
        <f t="shared" si="4"/>
        <v>3</v>
      </c>
      <c r="D45" s="67">
        <f t="shared" si="0"/>
        <v>2021</v>
      </c>
      <c r="E45" s="122">
        <f t="shared" si="1"/>
        <v>44286</v>
      </c>
      <c r="F45" s="67">
        <f>IF(C40="Все",-SUMIFS('Постоянные затраты'!$H:$H,'Постоянные затраты'!$G:$G,"&lt;="&amp;$B45,'Постоянные затраты'!$B:$B,РасшифровкаЗатрат!F$7),-SUMIFS('Постоянные затраты'!$H:$H,'Постоянные затраты'!$G:$G,"&lt;="&amp;$B45,'Постоянные затраты'!$D:$D,$C$4,'Постоянные затраты'!$B:$B,РасшифровкаЗатрат!F$7))</f>
        <v>0</v>
      </c>
      <c r="G45" s="67">
        <f>IF(D40="Все",-SUMIFS('Постоянные затраты'!$H:$H,'Постоянные затраты'!$G:$G,"&lt;="&amp;$B45,'Постоянные затраты'!$B:$B,РасшифровкаЗатрат!G$7),-SUMIFS('Постоянные затраты'!$H:$H,'Постоянные затраты'!$G:$G,"&lt;="&amp;$B45,'Постоянные затраты'!$D:$D,$C$4,'Постоянные затраты'!$B:$B,РасшифровкаЗатрат!G$7))</f>
        <v>0</v>
      </c>
      <c r="H45" s="67">
        <f>IF(E40="Все",-SUMIFS('Постоянные затраты'!$H:$H,'Постоянные затраты'!$G:$G,"&lt;="&amp;$B45,'Постоянные затраты'!$B:$B,РасшифровкаЗатрат!H$7),-SUMIFS('Постоянные затраты'!$H:$H,'Постоянные затраты'!$G:$G,"&lt;="&amp;$B45,'Постоянные затраты'!$D:$D,$C$4,'Постоянные затраты'!$B:$B,РасшифровкаЗатрат!H$7))</f>
        <v>0</v>
      </c>
      <c r="I45" s="67">
        <f>IF(F40="Все",-SUMIFS('Постоянные затраты'!$H:$H,'Постоянные затраты'!$G:$G,"&lt;="&amp;$B45,'Постоянные затраты'!$B:$B,РасшифровкаЗатрат!I$7),-SUMIFS('Постоянные затраты'!$H:$H,'Постоянные затраты'!$G:$G,"&lt;="&amp;$B45,'Постоянные затраты'!$D:$D,$C$4,'Постоянные затраты'!$B:$B,РасшифровкаЗатрат!I$7))</f>
        <v>0</v>
      </c>
      <c r="J45" s="67">
        <f>-IF($C$4="Все",SUMIFS('Заёмные средства'!$P:$P,'Заёмные средства'!$F:$F,РасшифровкаЗатрат!$B45),0)</f>
        <v>0</v>
      </c>
      <c r="K45" s="67">
        <f t="shared" si="3"/>
        <v>0</v>
      </c>
    </row>
    <row r="46" spans="2:11" x14ac:dyDescent="0.25">
      <c r="B46" s="67">
        <f t="shared" si="5"/>
        <v>38</v>
      </c>
      <c r="C46" s="67">
        <f t="shared" si="4"/>
        <v>4</v>
      </c>
      <c r="D46" s="67">
        <f t="shared" si="0"/>
        <v>2021</v>
      </c>
      <c r="E46" s="122">
        <f t="shared" si="1"/>
        <v>44316</v>
      </c>
      <c r="F46" s="67">
        <f>IF(C41="Все",-SUMIFS('Постоянные затраты'!$H:$H,'Постоянные затраты'!$G:$G,"&lt;="&amp;$B46,'Постоянные затраты'!$B:$B,РасшифровкаЗатрат!F$7),-SUMIFS('Постоянные затраты'!$H:$H,'Постоянные затраты'!$G:$G,"&lt;="&amp;$B46,'Постоянные затраты'!$D:$D,$C$4,'Постоянные затраты'!$B:$B,РасшифровкаЗатрат!F$7))</f>
        <v>0</v>
      </c>
      <c r="G46" s="67">
        <f>IF(D41="Все",-SUMIFS('Постоянные затраты'!$H:$H,'Постоянные затраты'!$G:$G,"&lt;="&amp;$B46,'Постоянные затраты'!$B:$B,РасшифровкаЗатрат!G$7),-SUMIFS('Постоянные затраты'!$H:$H,'Постоянные затраты'!$G:$G,"&lt;="&amp;$B46,'Постоянные затраты'!$D:$D,$C$4,'Постоянные затраты'!$B:$B,РасшифровкаЗатрат!G$7))</f>
        <v>0</v>
      </c>
      <c r="H46" s="67">
        <f>IF(E41="Все",-SUMIFS('Постоянные затраты'!$H:$H,'Постоянные затраты'!$G:$G,"&lt;="&amp;$B46,'Постоянные затраты'!$B:$B,РасшифровкаЗатрат!H$7),-SUMIFS('Постоянные затраты'!$H:$H,'Постоянные затраты'!$G:$G,"&lt;="&amp;$B46,'Постоянные затраты'!$D:$D,$C$4,'Постоянные затраты'!$B:$B,РасшифровкаЗатрат!H$7))</f>
        <v>0</v>
      </c>
      <c r="I46" s="67">
        <f>IF(F41="Все",-SUMIFS('Постоянные затраты'!$H:$H,'Постоянные затраты'!$G:$G,"&lt;="&amp;$B46,'Постоянные затраты'!$B:$B,РасшифровкаЗатрат!I$7),-SUMIFS('Постоянные затраты'!$H:$H,'Постоянные затраты'!$G:$G,"&lt;="&amp;$B46,'Постоянные затраты'!$D:$D,$C$4,'Постоянные затраты'!$B:$B,РасшифровкаЗатрат!I$7))</f>
        <v>0</v>
      </c>
      <c r="J46" s="67">
        <f>-IF($C$4="Все",SUMIFS('Заёмные средства'!$P:$P,'Заёмные средства'!$F:$F,РасшифровкаЗатрат!$B46),0)</f>
        <v>0</v>
      </c>
      <c r="K46" s="67">
        <f t="shared" si="3"/>
        <v>0</v>
      </c>
    </row>
    <row r="47" spans="2:11" x14ac:dyDescent="0.25">
      <c r="B47" s="67">
        <f t="shared" si="5"/>
        <v>39</v>
      </c>
      <c r="C47" s="67">
        <f t="shared" si="4"/>
        <v>5</v>
      </c>
      <c r="D47" s="67">
        <f t="shared" si="0"/>
        <v>2021</v>
      </c>
      <c r="E47" s="122">
        <f t="shared" si="1"/>
        <v>44347</v>
      </c>
      <c r="F47" s="67">
        <f>IF(C42="Все",-SUMIFS('Постоянные затраты'!$H:$H,'Постоянные затраты'!$G:$G,"&lt;="&amp;$B47,'Постоянные затраты'!$B:$B,РасшифровкаЗатрат!F$7),-SUMIFS('Постоянные затраты'!$H:$H,'Постоянные затраты'!$G:$G,"&lt;="&amp;$B47,'Постоянные затраты'!$D:$D,$C$4,'Постоянные затраты'!$B:$B,РасшифровкаЗатрат!F$7))</f>
        <v>0</v>
      </c>
      <c r="G47" s="67">
        <f>IF(D42="Все",-SUMIFS('Постоянные затраты'!$H:$H,'Постоянные затраты'!$G:$G,"&lt;="&amp;$B47,'Постоянные затраты'!$B:$B,РасшифровкаЗатрат!G$7),-SUMIFS('Постоянные затраты'!$H:$H,'Постоянные затраты'!$G:$G,"&lt;="&amp;$B47,'Постоянные затраты'!$D:$D,$C$4,'Постоянные затраты'!$B:$B,РасшифровкаЗатрат!G$7))</f>
        <v>0</v>
      </c>
      <c r="H47" s="67">
        <f>IF(E42="Все",-SUMIFS('Постоянные затраты'!$H:$H,'Постоянные затраты'!$G:$G,"&lt;="&amp;$B47,'Постоянные затраты'!$B:$B,РасшифровкаЗатрат!H$7),-SUMIFS('Постоянные затраты'!$H:$H,'Постоянные затраты'!$G:$G,"&lt;="&amp;$B47,'Постоянные затраты'!$D:$D,$C$4,'Постоянные затраты'!$B:$B,РасшифровкаЗатрат!H$7))</f>
        <v>0</v>
      </c>
      <c r="I47" s="67">
        <f>IF(F42="Все",-SUMIFS('Постоянные затраты'!$H:$H,'Постоянные затраты'!$G:$G,"&lt;="&amp;$B47,'Постоянные затраты'!$B:$B,РасшифровкаЗатрат!I$7),-SUMIFS('Постоянные затраты'!$H:$H,'Постоянные затраты'!$G:$G,"&lt;="&amp;$B47,'Постоянные затраты'!$D:$D,$C$4,'Постоянные затраты'!$B:$B,РасшифровкаЗатрат!I$7))</f>
        <v>0</v>
      </c>
      <c r="J47" s="67">
        <f>-IF($C$4="Все",SUMIFS('Заёмные средства'!$P:$P,'Заёмные средства'!$F:$F,РасшифровкаЗатрат!$B47),0)</f>
        <v>0</v>
      </c>
      <c r="K47" s="67">
        <f t="shared" si="3"/>
        <v>0</v>
      </c>
    </row>
    <row r="48" spans="2:11" x14ac:dyDescent="0.25">
      <c r="B48" s="67">
        <f t="shared" si="5"/>
        <v>40</v>
      </c>
      <c r="C48" s="67">
        <f t="shared" si="4"/>
        <v>6</v>
      </c>
      <c r="D48" s="67">
        <f t="shared" si="0"/>
        <v>2021</v>
      </c>
      <c r="E48" s="122">
        <f t="shared" si="1"/>
        <v>44377</v>
      </c>
      <c r="F48" s="67">
        <f>IF(C43="Все",-SUMIFS('Постоянные затраты'!$H:$H,'Постоянные затраты'!$G:$G,"&lt;="&amp;$B48,'Постоянные затраты'!$B:$B,РасшифровкаЗатрат!F$7),-SUMIFS('Постоянные затраты'!$H:$H,'Постоянные затраты'!$G:$G,"&lt;="&amp;$B48,'Постоянные затраты'!$D:$D,$C$4,'Постоянные затраты'!$B:$B,РасшифровкаЗатрат!F$7))</f>
        <v>0</v>
      </c>
      <c r="G48" s="67">
        <f>IF(D43="Все",-SUMIFS('Постоянные затраты'!$H:$H,'Постоянные затраты'!$G:$G,"&lt;="&amp;$B48,'Постоянные затраты'!$B:$B,РасшифровкаЗатрат!G$7),-SUMIFS('Постоянные затраты'!$H:$H,'Постоянные затраты'!$G:$G,"&lt;="&amp;$B48,'Постоянные затраты'!$D:$D,$C$4,'Постоянные затраты'!$B:$B,РасшифровкаЗатрат!G$7))</f>
        <v>0</v>
      </c>
      <c r="H48" s="67">
        <f>IF(E43="Все",-SUMIFS('Постоянные затраты'!$H:$H,'Постоянные затраты'!$G:$G,"&lt;="&amp;$B48,'Постоянные затраты'!$B:$B,РасшифровкаЗатрат!H$7),-SUMIFS('Постоянные затраты'!$H:$H,'Постоянные затраты'!$G:$G,"&lt;="&amp;$B48,'Постоянные затраты'!$D:$D,$C$4,'Постоянные затраты'!$B:$B,РасшифровкаЗатрат!H$7))</f>
        <v>0</v>
      </c>
      <c r="I48" s="67">
        <f>IF(F43="Все",-SUMIFS('Постоянные затраты'!$H:$H,'Постоянные затраты'!$G:$G,"&lt;="&amp;$B48,'Постоянные затраты'!$B:$B,РасшифровкаЗатрат!I$7),-SUMIFS('Постоянные затраты'!$H:$H,'Постоянные затраты'!$G:$G,"&lt;="&amp;$B48,'Постоянные затраты'!$D:$D,$C$4,'Постоянные затраты'!$B:$B,РасшифровкаЗатрат!I$7))</f>
        <v>0</v>
      </c>
      <c r="J48" s="67">
        <f>-IF($C$4="Все",SUMIFS('Заёмные средства'!$P:$P,'Заёмные средства'!$F:$F,РасшифровкаЗатрат!$B48),0)</f>
        <v>0</v>
      </c>
      <c r="K48" s="67">
        <f t="shared" si="3"/>
        <v>0</v>
      </c>
    </row>
    <row r="49" spans="2:11" x14ac:dyDescent="0.25">
      <c r="B49" s="67">
        <f t="shared" si="5"/>
        <v>41</v>
      </c>
      <c r="C49" s="67">
        <f t="shared" si="4"/>
        <v>7</v>
      </c>
      <c r="D49" s="67">
        <f t="shared" si="0"/>
        <v>2021</v>
      </c>
      <c r="E49" s="122">
        <f t="shared" si="1"/>
        <v>44408</v>
      </c>
      <c r="F49" s="67">
        <f>IF(C44="Все",-SUMIFS('Постоянные затраты'!$H:$H,'Постоянные затраты'!$G:$G,"&lt;="&amp;$B49,'Постоянные затраты'!$B:$B,РасшифровкаЗатрат!F$7),-SUMIFS('Постоянные затраты'!$H:$H,'Постоянные затраты'!$G:$G,"&lt;="&amp;$B49,'Постоянные затраты'!$D:$D,$C$4,'Постоянные затраты'!$B:$B,РасшифровкаЗатрат!F$7))</f>
        <v>0</v>
      </c>
      <c r="G49" s="67">
        <f>IF(D44="Все",-SUMIFS('Постоянные затраты'!$H:$H,'Постоянные затраты'!$G:$G,"&lt;="&amp;$B49,'Постоянные затраты'!$B:$B,РасшифровкаЗатрат!G$7),-SUMIFS('Постоянные затраты'!$H:$H,'Постоянные затраты'!$G:$G,"&lt;="&amp;$B49,'Постоянные затраты'!$D:$D,$C$4,'Постоянные затраты'!$B:$B,РасшифровкаЗатрат!G$7))</f>
        <v>0</v>
      </c>
      <c r="H49" s="67">
        <f>IF(E44="Все",-SUMIFS('Постоянные затраты'!$H:$H,'Постоянные затраты'!$G:$G,"&lt;="&amp;$B49,'Постоянные затраты'!$B:$B,РасшифровкаЗатрат!H$7),-SUMIFS('Постоянные затраты'!$H:$H,'Постоянные затраты'!$G:$G,"&lt;="&amp;$B49,'Постоянные затраты'!$D:$D,$C$4,'Постоянные затраты'!$B:$B,РасшифровкаЗатрат!H$7))</f>
        <v>0</v>
      </c>
      <c r="I49" s="67">
        <f>IF(F44="Все",-SUMIFS('Постоянные затраты'!$H:$H,'Постоянные затраты'!$G:$G,"&lt;="&amp;$B49,'Постоянные затраты'!$B:$B,РасшифровкаЗатрат!I$7),-SUMIFS('Постоянные затраты'!$H:$H,'Постоянные затраты'!$G:$G,"&lt;="&amp;$B49,'Постоянные затраты'!$D:$D,$C$4,'Постоянные затраты'!$B:$B,РасшифровкаЗатрат!I$7))</f>
        <v>0</v>
      </c>
      <c r="J49" s="67">
        <f>-IF($C$4="Все",SUMIFS('Заёмные средства'!$P:$P,'Заёмные средства'!$F:$F,РасшифровкаЗатрат!$B49),0)</f>
        <v>0</v>
      </c>
      <c r="K49" s="67">
        <f t="shared" si="3"/>
        <v>0</v>
      </c>
    </row>
    <row r="50" spans="2:11" x14ac:dyDescent="0.25">
      <c r="B50" s="67">
        <f t="shared" si="5"/>
        <v>42</v>
      </c>
      <c r="C50" s="67">
        <f t="shared" si="4"/>
        <v>8</v>
      </c>
      <c r="D50" s="67">
        <f t="shared" si="0"/>
        <v>2021</v>
      </c>
      <c r="E50" s="122">
        <f t="shared" si="1"/>
        <v>44439</v>
      </c>
      <c r="F50" s="67">
        <f>IF(C45="Все",-SUMIFS('Постоянные затраты'!$H:$H,'Постоянные затраты'!$G:$G,"&lt;="&amp;$B50,'Постоянные затраты'!$B:$B,РасшифровкаЗатрат!F$7),-SUMIFS('Постоянные затраты'!$H:$H,'Постоянные затраты'!$G:$G,"&lt;="&amp;$B50,'Постоянные затраты'!$D:$D,$C$4,'Постоянные затраты'!$B:$B,РасшифровкаЗатрат!F$7))</f>
        <v>0</v>
      </c>
      <c r="G50" s="67">
        <f>IF(D45="Все",-SUMIFS('Постоянные затраты'!$H:$H,'Постоянные затраты'!$G:$G,"&lt;="&amp;$B50,'Постоянные затраты'!$B:$B,РасшифровкаЗатрат!G$7),-SUMIFS('Постоянные затраты'!$H:$H,'Постоянные затраты'!$G:$G,"&lt;="&amp;$B50,'Постоянные затраты'!$D:$D,$C$4,'Постоянные затраты'!$B:$B,РасшифровкаЗатрат!G$7))</f>
        <v>0</v>
      </c>
      <c r="H50" s="67">
        <f>IF(E45="Все",-SUMIFS('Постоянные затраты'!$H:$H,'Постоянные затраты'!$G:$G,"&lt;="&amp;$B50,'Постоянные затраты'!$B:$B,РасшифровкаЗатрат!H$7),-SUMIFS('Постоянные затраты'!$H:$H,'Постоянные затраты'!$G:$G,"&lt;="&amp;$B50,'Постоянные затраты'!$D:$D,$C$4,'Постоянные затраты'!$B:$B,РасшифровкаЗатрат!H$7))</f>
        <v>0</v>
      </c>
      <c r="I50" s="67">
        <f>IF(F45="Все",-SUMIFS('Постоянные затраты'!$H:$H,'Постоянные затраты'!$G:$G,"&lt;="&amp;$B50,'Постоянные затраты'!$B:$B,РасшифровкаЗатрат!I$7),-SUMIFS('Постоянные затраты'!$H:$H,'Постоянные затраты'!$G:$G,"&lt;="&amp;$B50,'Постоянные затраты'!$D:$D,$C$4,'Постоянные затраты'!$B:$B,РасшифровкаЗатрат!I$7))</f>
        <v>0</v>
      </c>
      <c r="J50" s="67">
        <f>-IF($C$4="Все",SUMIFS('Заёмные средства'!$P:$P,'Заёмные средства'!$F:$F,РасшифровкаЗатрат!$B50),0)</f>
        <v>0</v>
      </c>
      <c r="K50" s="67">
        <f t="shared" si="3"/>
        <v>0</v>
      </c>
    </row>
    <row r="51" spans="2:11" x14ac:dyDescent="0.25">
      <c r="B51" s="67">
        <f t="shared" si="5"/>
        <v>43</v>
      </c>
      <c r="C51" s="67">
        <f t="shared" si="4"/>
        <v>9</v>
      </c>
      <c r="D51" s="67">
        <f t="shared" si="0"/>
        <v>2021</v>
      </c>
      <c r="E51" s="122">
        <f t="shared" si="1"/>
        <v>44469</v>
      </c>
      <c r="F51" s="67">
        <f>IF(C46="Все",-SUMIFS('Постоянные затраты'!$H:$H,'Постоянные затраты'!$G:$G,"&lt;="&amp;$B51,'Постоянные затраты'!$B:$B,РасшифровкаЗатрат!F$7),-SUMIFS('Постоянные затраты'!$H:$H,'Постоянные затраты'!$G:$G,"&lt;="&amp;$B51,'Постоянные затраты'!$D:$D,$C$4,'Постоянные затраты'!$B:$B,РасшифровкаЗатрат!F$7))</f>
        <v>0</v>
      </c>
      <c r="G51" s="67">
        <f>IF(D46="Все",-SUMIFS('Постоянные затраты'!$H:$H,'Постоянные затраты'!$G:$G,"&lt;="&amp;$B51,'Постоянные затраты'!$B:$B,РасшифровкаЗатрат!G$7),-SUMIFS('Постоянные затраты'!$H:$H,'Постоянные затраты'!$G:$G,"&lt;="&amp;$B51,'Постоянные затраты'!$D:$D,$C$4,'Постоянные затраты'!$B:$B,РасшифровкаЗатрат!G$7))</f>
        <v>0</v>
      </c>
      <c r="H51" s="67">
        <f>IF(E46="Все",-SUMIFS('Постоянные затраты'!$H:$H,'Постоянные затраты'!$G:$G,"&lt;="&amp;$B51,'Постоянные затраты'!$B:$B,РасшифровкаЗатрат!H$7),-SUMIFS('Постоянные затраты'!$H:$H,'Постоянные затраты'!$G:$G,"&lt;="&amp;$B51,'Постоянные затраты'!$D:$D,$C$4,'Постоянные затраты'!$B:$B,РасшифровкаЗатрат!H$7))</f>
        <v>0</v>
      </c>
      <c r="I51" s="67">
        <f>IF(F46="Все",-SUMIFS('Постоянные затраты'!$H:$H,'Постоянные затраты'!$G:$G,"&lt;="&amp;$B51,'Постоянные затраты'!$B:$B,РасшифровкаЗатрат!I$7),-SUMIFS('Постоянные затраты'!$H:$H,'Постоянные затраты'!$G:$G,"&lt;="&amp;$B51,'Постоянные затраты'!$D:$D,$C$4,'Постоянные затраты'!$B:$B,РасшифровкаЗатрат!I$7))</f>
        <v>0</v>
      </c>
      <c r="J51" s="67">
        <f>-IF($C$4="Все",SUMIFS('Заёмные средства'!$P:$P,'Заёмные средства'!$F:$F,РасшифровкаЗатрат!$B51),0)</f>
        <v>0</v>
      </c>
      <c r="K51" s="67">
        <f t="shared" si="3"/>
        <v>0</v>
      </c>
    </row>
    <row r="52" spans="2:11" x14ac:dyDescent="0.25">
      <c r="B52" s="67">
        <f t="shared" si="5"/>
        <v>44</v>
      </c>
      <c r="C52" s="67">
        <f t="shared" si="4"/>
        <v>10</v>
      </c>
      <c r="D52" s="67">
        <f t="shared" si="0"/>
        <v>2021</v>
      </c>
      <c r="E52" s="122">
        <f t="shared" si="1"/>
        <v>44500</v>
      </c>
      <c r="F52" s="67">
        <f>IF(C47="Все",-SUMIFS('Постоянные затраты'!$H:$H,'Постоянные затраты'!$G:$G,"&lt;="&amp;$B52,'Постоянные затраты'!$B:$B,РасшифровкаЗатрат!F$7),-SUMIFS('Постоянные затраты'!$H:$H,'Постоянные затраты'!$G:$G,"&lt;="&amp;$B52,'Постоянные затраты'!$D:$D,$C$4,'Постоянные затраты'!$B:$B,РасшифровкаЗатрат!F$7))</f>
        <v>0</v>
      </c>
      <c r="G52" s="67">
        <f>IF(D47="Все",-SUMIFS('Постоянные затраты'!$H:$H,'Постоянные затраты'!$G:$G,"&lt;="&amp;$B52,'Постоянные затраты'!$B:$B,РасшифровкаЗатрат!G$7),-SUMIFS('Постоянные затраты'!$H:$H,'Постоянные затраты'!$G:$G,"&lt;="&amp;$B52,'Постоянные затраты'!$D:$D,$C$4,'Постоянные затраты'!$B:$B,РасшифровкаЗатрат!G$7))</f>
        <v>0</v>
      </c>
      <c r="H52" s="67">
        <f>IF(E47="Все",-SUMIFS('Постоянные затраты'!$H:$H,'Постоянные затраты'!$G:$G,"&lt;="&amp;$B52,'Постоянные затраты'!$B:$B,РасшифровкаЗатрат!H$7),-SUMIFS('Постоянные затраты'!$H:$H,'Постоянные затраты'!$G:$G,"&lt;="&amp;$B52,'Постоянные затраты'!$D:$D,$C$4,'Постоянные затраты'!$B:$B,РасшифровкаЗатрат!H$7))</f>
        <v>0</v>
      </c>
      <c r="I52" s="67">
        <f>IF(F47="Все",-SUMIFS('Постоянные затраты'!$H:$H,'Постоянные затраты'!$G:$G,"&lt;="&amp;$B52,'Постоянные затраты'!$B:$B,РасшифровкаЗатрат!I$7),-SUMIFS('Постоянные затраты'!$H:$H,'Постоянные затраты'!$G:$G,"&lt;="&amp;$B52,'Постоянные затраты'!$D:$D,$C$4,'Постоянные затраты'!$B:$B,РасшифровкаЗатрат!I$7))</f>
        <v>0</v>
      </c>
      <c r="J52" s="67">
        <f>-IF($C$4="Все",SUMIFS('Заёмные средства'!$P:$P,'Заёмные средства'!$F:$F,РасшифровкаЗатрат!$B52),0)</f>
        <v>0</v>
      </c>
      <c r="K52" s="67">
        <f t="shared" si="3"/>
        <v>0</v>
      </c>
    </row>
    <row r="53" spans="2:11" x14ac:dyDescent="0.25">
      <c r="B53" s="67">
        <f t="shared" si="5"/>
        <v>45</v>
      </c>
      <c r="C53" s="67">
        <f t="shared" si="4"/>
        <v>11</v>
      </c>
      <c r="D53" s="67">
        <f t="shared" si="0"/>
        <v>2021</v>
      </c>
      <c r="E53" s="122">
        <f t="shared" si="1"/>
        <v>44530</v>
      </c>
      <c r="F53" s="67">
        <f>IF(C48="Все",-SUMIFS('Постоянные затраты'!$H:$H,'Постоянные затраты'!$G:$G,"&lt;="&amp;$B53,'Постоянные затраты'!$B:$B,РасшифровкаЗатрат!F$7),-SUMIFS('Постоянные затраты'!$H:$H,'Постоянные затраты'!$G:$G,"&lt;="&amp;$B53,'Постоянные затраты'!$D:$D,$C$4,'Постоянные затраты'!$B:$B,РасшифровкаЗатрат!F$7))</f>
        <v>0</v>
      </c>
      <c r="G53" s="67">
        <f>IF(D48="Все",-SUMIFS('Постоянные затраты'!$H:$H,'Постоянные затраты'!$G:$G,"&lt;="&amp;$B53,'Постоянные затраты'!$B:$B,РасшифровкаЗатрат!G$7),-SUMIFS('Постоянные затраты'!$H:$H,'Постоянные затраты'!$G:$G,"&lt;="&amp;$B53,'Постоянные затраты'!$D:$D,$C$4,'Постоянные затраты'!$B:$B,РасшифровкаЗатрат!G$7))</f>
        <v>0</v>
      </c>
      <c r="H53" s="67">
        <f>IF(E48="Все",-SUMIFS('Постоянные затраты'!$H:$H,'Постоянные затраты'!$G:$G,"&lt;="&amp;$B53,'Постоянные затраты'!$B:$B,РасшифровкаЗатрат!H$7),-SUMIFS('Постоянные затраты'!$H:$H,'Постоянные затраты'!$G:$G,"&lt;="&amp;$B53,'Постоянные затраты'!$D:$D,$C$4,'Постоянные затраты'!$B:$B,РасшифровкаЗатрат!H$7))</f>
        <v>0</v>
      </c>
      <c r="I53" s="67">
        <f>IF(F48="Все",-SUMIFS('Постоянные затраты'!$H:$H,'Постоянные затраты'!$G:$G,"&lt;="&amp;$B53,'Постоянные затраты'!$B:$B,РасшифровкаЗатрат!I$7),-SUMIFS('Постоянные затраты'!$H:$H,'Постоянные затраты'!$G:$G,"&lt;="&amp;$B53,'Постоянные затраты'!$D:$D,$C$4,'Постоянные затраты'!$B:$B,РасшифровкаЗатрат!I$7))</f>
        <v>0</v>
      </c>
      <c r="J53" s="67">
        <f>-IF($C$4="Все",SUMIFS('Заёмные средства'!$P:$P,'Заёмные средства'!$F:$F,РасшифровкаЗатрат!$B53),0)</f>
        <v>0</v>
      </c>
      <c r="K53" s="67">
        <f t="shared" si="3"/>
        <v>0</v>
      </c>
    </row>
    <row r="54" spans="2:11" x14ac:dyDescent="0.25">
      <c r="B54" s="67">
        <f t="shared" si="5"/>
        <v>46</v>
      </c>
      <c r="C54" s="67">
        <f t="shared" si="4"/>
        <v>12</v>
      </c>
      <c r="D54" s="67">
        <f t="shared" si="0"/>
        <v>2021</v>
      </c>
      <c r="E54" s="122">
        <f t="shared" si="1"/>
        <v>44561</v>
      </c>
      <c r="F54" s="67">
        <f>IF(C49="Все",-SUMIFS('Постоянные затраты'!$H:$H,'Постоянные затраты'!$G:$G,"&lt;="&amp;$B54,'Постоянные затраты'!$B:$B,РасшифровкаЗатрат!F$7),-SUMIFS('Постоянные затраты'!$H:$H,'Постоянные затраты'!$G:$G,"&lt;="&amp;$B54,'Постоянные затраты'!$D:$D,$C$4,'Постоянные затраты'!$B:$B,РасшифровкаЗатрат!F$7))</f>
        <v>0</v>
      </c>
      <c r="G54" s="67">
        <f>IF(D49="Все",-SUMIFS('Постоянные затраты'!$H:$H,'Постоянные затраты'!$G:$G,"&lt;="&amp;$B54,'Постоянные затраты'!$B:$B,РасшифровкаЗатрат!G$7),-SUMIFS('Постоянные затраты'!$H:$H,'Постоянные затраты'!$G:$G,"&lt;="&amp;$B54,'Постоянные затраты'!$D:$D,$C$4,'Постоянные затраты'!$B:$B,РасшифровкаЗатрат!G$7))</f>
        <v>0</v>
      </c>
      <c r="H54" s="67">
        <f>IF(E49="Все",-SUMIFS('Постоянные затраты'!$H:$H,'Постоянные затраты'!$G:$G,"&lt;="&amp;$B54,'Постоянные затраты'!$B:$B,РасшифровкаЗатрат!H$7),-SUMIFS('Постоянные затраты'!$H:$H,'Постоянные затраты'!$G:$G,"&lt;="&amp;$B54,'Постоянные затраты'!$D:$D,$C$4,'Постоянные затраты'!$B:$B,РасшифровкаЗатрат!H$7))</f>
        <v>0</v>
      </c>
      <c r="I54" s="67">
        <f>IF(F49="Все",-SUMIFS('Постоянные затраты'!$H:$H,'Постоянные затраты'!$G:$G,"&lt;="&amp;$B54,'Постоянные затраты'!$B:$B,РасшифровкаЗатрат!I$7),-SUMIFS('Постоянные затраты'!$H:$H,'Постоянные затраты'!$G:$G,"&lt;="&amp;$B54,'Постоянные затраты'!$D:$D,$C$4,'Постоянные затраты'!$B:$B,РасшифровкаЗатрат!I$7))</f>
        <v>0</v>
      </c>
      <c r="J54" s="67">
        <f>-IF($C$4="Все",SUMIFS('Заёмные средства'!$P:$P,'Заёмные средства'!$F:$F,РасшифровкаЗатрат!$B54),0)</f>
        <v>0</v>
      </c>
      <c r="K54" s="67">
        <f t="shared" si="3"/>
        <v>0</v>
      </c>
    </row>
    <row r="55" spans="2:11" x14ac:dyDescent="0.25">
      <c r="B55" s="67">
        <f t="shared" si="5"/>
        <v>47</v>
      </c>
      <c r="C55" s="67">
        <f t="shared" si="4"/>
        <v>1</v>
      </c>
      <c r="D55" s="67">
        <f t="shared" si="0"/>
        <v>2022</v>
      </c>
      <c r="E55" s="122">
        <f t="shared" si="1"/>
        <v>44592</v>
      </c>
      <c r="F55" s="67">
        <f>IF(C50="Все",-SUMIFS('Постоянные затраты'!$H:$H,'Постоянные затраты'!$G:$G,"&lt;="&amp;$B55,'Постоянные затраты'!$B:$B,РасшифровкаЗатрат!F$7),-SUMIFS('Постоянные затраты'!$H:$H,'Постоянные затраты'!$G:$G,"&lt;="&amp;$B55,'Постоянные затраты'!$D:$D,$C$4,'Постоянные затраты'!$B:$B,РасшифровкаЗатрат!F$7))</f>
        <v>0</v>
      </c>
      <c r="G55" s="67">
        <f>IF(D50="Все",-SUMIFS('Постоянные затраты'!$H:$H,'Постоянные затраты'!$G:$G,"&lt;="&amp;$B55,'Постоянные затраты'!$B:$B,РасшифровкаЗатрат!G$7),-SUMIFS('Постоянные затраты'!$H:$H,'Постоянные затраты'!$G:$G,"&lt;="&amp;$B55,'Постоянные затраты'!$D:$D,$C$4,'Постоянные затраты'!$B:$B,РасшифровкаЗатрат!G$7))</f>
        <v>0</v>
      </c>
      <c r="H55" s="67">
        <f>IF(E50="Все",-SUMIFS('Постоянные затраты'!$H:$H,'Постоянные затраты'!$G:$G,"&lt;="&amp;$B55,'Постоянные затраты'!$B:$B,РасшифровкаЗатрат!H$7),-SUMIFS('Постоянные затраты'!$H:$H,'Постоянные затраты'!$G:$G,"&lt;="&amp;$B55,'Постоянные затраты'!$D:$D,$C$4,'Постоянные затраты'!$B:$B,РасшифровкаЗатрат!H$7))</f>
        <v>0</v>
      </c>
      <c r="I55" s="67">
        <f>IF(F50="Все",-SUMIFS('Постоянные затраты'!$H:$H,'Постоянные затраты'!$G:$G,"&lt;="&amp;$B55,'Постоянные затраты'!$B:$B,РасшифровкаЗатрат!I$7),-SUMIFS('Постоянные затраты'!$H:$H,'Постоянные затраты'!$G:$G,"&lt;="&amp;$B55,'Постоянные затраты'!$D:$D,$C$4,'Постоянные затраты'!$B:$B,РасшифровкаЗатрат!I$7))</f>
        <v>0</v>
      </c>
      <c r="J55" s="67">
        <f>-IF($C$4="Все",SUMIFS('Заёмные средства'!$P:$P,'Заёмные средства'!$F:$F,РасшифровкаЗатрат!$B55),0)</f>
        <v>0</v>
      </c>
      <c r="K55" s="67">
        <f t="shared" si="3"/>
        <v>0</v>
      </c>
    </row>
    <row r="56" spans="2:11" x14ac:dyDescent="0.25">
      <c r="B56" s="67">
        <f t="shared" si="5"/>
        <v>48</v>
      </c>
      <c r="C56" s="67">
        <f t="shared" si="4"/>
        <v>2</v>
      </c>
      <c r="D56" s="67">
        <f t="shared" si="0"/>
        <v>2022</v>
      </c>
      <c r="E56" s="122">
        <f t="shared" si="1"/>
        <v>44620</v>
      </c>
      <c r="F56" s="67">
        <f>IF(C51="Все",-SUMIFS('Постоянные затраты'!$H:$H,'Постоянные затраты'!$G:$G,"&lt;="&amp;$B56,'Постоянные затраты'!$B:$B,РасшифровкаЗатрат!F$7),-SUMIFS('Постоянные затраты'!$H:$H,'Постоянные затраты'!$G:$G,"&lt;="&amp;$B56,'Постоянные затраты'!$D:$D,$C$4,'Постоянные затраты'!$B:$B,РасшифровкаЗатрат!F$7))</f>
        <v>0</v>
      </c>
      <c r="G56" s="67">
        <f>IF(D51="Все",-SUMIFS('Постоянные затраты'!$H:$H,'Постоянные затраты'!$G:$G,"&lt;="&amp;$B56,'Постоянные затраты'!$B:$B,РасшифровкаЗатрат!G$7),-SUMIFS('Постоянные затраты'!$H:$H,'Постоянные затраты'!$G:$G,"&lt;="&amp;$B56,'Постоянные затраты'!$D:$D,$C$4,'Постоянные затраты'!$B:$B,РасшифровкаЗатрат!G$7))</f>
        <v>0</v>
      </c>
      <c r="H56" s="67">
        <f>IF(E51="Все",-SUMIFS('Постоянные затраты'!$H:$H,'Постоянные затраты'!$G:$G,"&lt;="&amp;$B56,'Постоянные затраты'!$B:$B,РасшифровкаЗатрат!H$7),-SUMIFS('Постоянные затраты'!$H:$H,'Постоянные затраты'!$G:$G,"&lt;="&amp;$B56,'Постоянные затраты'!$D:$D,$C$4,'Постоянные затраты'!$B:$B,РасшифровкаЗатрат!H$7))</f>
        <v>0</v>
      </c>
      <c r="I56" s="67">
        <f>IF(F51="Все",-SUMIFS('Постоянные затраты'!$H:$H,'Постоянные затраты'!$G:$G,"&lt;="&amp;$B56,'Постоянные затраты'!$B:$B,РасшифровкаЗатрат!I$7),-SUMIFS('Постоянные затраты'!$H:$H,'Постоянные затраты'!$G:$G,"&lt;="&amp;$B56,'Постоянные затраты'!$D:$D,$C$4,'Постоянные затраты'!$B:$B,РасшифровкаЗатрат!I$7))</f>
        <v>0</v>
      </c>
      <c r="J56" s="67">
        <f>-IF($C$4="Все",SUMIFS('Заёмные средства'!$P:$P,'Заёмные средства'!$F:$F,РасшифровкаЗатрат!$B56),0)</f>
        <v>0</v>
      </c>
      <c r="K56" s="67">
        <f t="shared" si="3"/>
        <v>0</v>
      </c>
    </row>
    <row r="57" spans="2:11" x14ac:dyDescent="0.25">
      <c r="B57" s="67">
        <f t="shared" si="5"/>
        <v>49</v>
      </c>
      <c r="C57" s="67">
        <f t="shared" si="4"/>
        <v>3</v>
      </c>
      <c r="D57" s="67">
        <f t="shared" si="0"/>
        <v>2022</v>
      </c>
      <c r="E57" s="122">
        <f t="shared" si="1"/>
        <v>44651</v>
      </c>
      <c r="F57" s="67">
        <f>IF(C52="Все",-SUMIFS('Постоянные затраты'!$H:$H,'Постоянные затраты'!$G:$G,"&lt;="&amp;$B57,'Постоянные затраты'!$B:$B,РасшифровкаЗатрат!F$7),-SUMIFS('Постоянные затраты'!$H:$H,'Постоянные затраты'!$G:$G,"&lt;="&amp;$B57,'Постоянные затраты'!$D:$D,$C$4,'Постоянные затраты'!$B:$B,РасшифровкаЗатрат!F$7))</f>
        <v>0</v>
      </c>
      <c r="G57" s="67">
        <f>IF(D52="Все",-SUMIFS('Постоянные затраты'!$H:$H,'Постоянные затраты'!$G:$G,"&lt;="&amp;$B57,'Постоянные затраты'!$B:$B,РасшифровкаЗатрат!G$7),-SUMIFS('Постоянные затраты'!$H:$H,'Постоянные затраты'!$G:$G,"&lt;="&amp;$B57,'Постоянные затраты'!$D:$D,$C$4,'Постоянные затраты'!$B:$B,РасшифровкаЗатрат!G$7))</f>
        <v>0</v>
      </c>
      <c r="H57" s="67">
        <f>IF(E52="Все",-SUMIFS('Постоянные затраты'!$H:$H,'Постоянные затраты'!$G:$G,"&lt;="&amp;$B57,'Постоянные затраты'!$B:$B,РасшифровкаЗатрат!H$7),-SUMIFS('Постоянные затраты'!$H:$H,'Постоянные затраты'!$G:$G,"&lt;="&amp;$B57,'Постоянные затраты'!$D:$D,$C$4,'Постоянные затраты'!$B:$B,РасшифровкаЗатрат!H$7))</f>
        <v>0</v>
      </c>
      <c r="I57" s="67">
        <f>IF(F52="Все",-SUMIFS('Постоянные затраты'!$H:$H,'Постоянные затраты'!$G:$G,"&lt;="&amp;$B57,'Постоянные затраты'!$B:$B,РасшифровкаЗатрат!I$7),-SUMIFS('Постоянные затраты'!$H:$H,'Постоянные затраты'!$G:$G,"&lt;="&amp;$B57,'Постоянные затраты'!$D:$D,$C$4,'Постоянные затраты'!$B:$B,РасшифровкаЗатрат!I$7))</f>
        <v>0</v>
      </c>
      <c r="J57" s="67">
        <f>-IF($C$4="Все",SUMIFS('Заёмные средства'!$P:$P,'Заёмные средства'!$F:$F,РасшифровкаЗатрат!$B57),0)</f>
        <v>0</v>
      </c>
      <c r="K57" s="67">
        <f t="shared" si="3"/>
        <v>0</v>
      </c>
    </row>
    <row r="58" spans="2:11" x14ac:dyDescent="0.25">
      <c r="B58" s="67">
        <f t="shared" si="5"/>
        <v>50</v>
      </c>
      <c r="C58" s="67">
        <f t="shared" si="4"/>
        <v>4</v>
      </c>
      <c r="D58" s="67">
        <f t="shared" si="0"/>
        <v>2022</v>
      </c>
      <c r="E58" s="122">
        <f t="shared" si="1"/>
        <v>44681</v>
      </c>
      <c r="F58" s="67">
        <f>IF(C53="Все",-SUMIFS('Постоянные затраты'!$H:$H,'Постоянные затраты'!$G:$G,"&lt;="&amp;$B58,'Постоянные затраты'!$B:$B,РасшифровкаЗатрат!F$7),-SUMIFS('Постоянные затраты'!$H:$H,'Постоянные затраты'!$G:$G,"&lt;="&amp;$B58,'Постоянные затраты'!$D:$D,$C$4,'Постоянные затраты'!$B:$B,РасшифровкаЗатрат!F$7))</f>
        <v>0</v>
      </c>
      <c r="G58" s="67">
        <f>IF(D53="Все",-SUMIFS('Постоянные затраты'!$H:$H,'Постоянные затраты'!$G:$G,"&lt;="&amp;$B58,'Постоянные затраты'!$B:$B,РасшифровкаЗатрат!G$7),-SUMIFS('Постоянные затраты'!$H:$H,'Постоянные затраты'!$G:$G,"&lt;="&amp;$B58,'Постоянные затраты'!$D:$D,$C$4,'Постоянные затраты'!$B:$B,РасшифровкаЗатрат!G$7))</f>
        <v>0</v>
      </c>
      <c r="H58" s="67">
        <f>IF(E53="Все",-SUMIFS('Постоянные затраты'!$H:$H,'Постоянные затраты'!$G:$G,"&lt;="&amp;$B58,'Постоянные затраты'!$B:$B,РасшифровкаЗатрат!H$7),-SUMIFS('Постоянные затраты'!$H:$H,'Постоянные затраты'!$G:$G,"&lt;="&amp;$B58,'Постоянные затраты'!$D:$D,$C$4,'Постоянные затраты'!$B:$B,РасшифровкаЗатрат!H$7))</f>
        <v>0</v>
      </c>
      <c r="I58" s="67">
        <f>IF(F53="Все",-SUMIFS('Постоянные затраты'!$H:$H,'Постоянные затраты'!$G:$G,"&lt;="&amp;$B58,'Постоянные затраты'!$B:$B,РасшифровкаЗатрат!I$7),-SUMIFS('Постоянные затраты'!$H:$H,'Постоянные затраты'!$G:$G,"&lt;="&amp;$B58,'Постоянные затраты'!$D:$D,$C$4,'Постоянные затраты'!$B:$B,РасшифровкаЗатрат!I$7))</f>
        <v>0</v>
      </c>
      <c r="J58" s="67">
        <f>-IF($C$4="Все",SUMIFS('Заёмные средства'!$P:$P,'Заёмные средства'!$F:$F,РасшифровкаЗатрат!$B58),0)</f>
        <v>0</v>
      </c>
      <c r="K58" s="67">
        <f t="shared" si="3"/>
        <v>0</v>
      </c>
    </row>
    <row r="59" spans="2:11" x14ac:dyDescent="0.25">
      <c r="B59" s="67">
        <f t="shared" si="5"/>
        <v>51</v>
      </c>
      <c r="C59" s="67">
        <f t="shared" si="4"/>
        <v>5</v>
      </c>
      <c r="D59" s="67">
        <f t="shared" si="0"/>
        <v>2022</v>
      </c>
      <c r="E59" s="122">
        <f t="shared" si="1"/>
        <v>44712</v>
      </c>
      <c r="F59" s="67">
        <f>IF(C54="Все",-SUMIFS('Постоянные затраты'!$H:$H,'Постоянные затраты'!$G:$G,"&lt;="&amp;$B59,'Постоянные затраты'!$B:$B,РасшифровкаЗатрат!F$7),-SUMIFS('Постоянные затраты'!$H:$H,'Постоянные затраты'!$G:$G,"&lt;="&amp;$B59,'Постоянные затраты'!$D:$D,$C$4,'Постоянные затраты'!$B:$B,РасшифровкаЗатрат!F$7))</f>
        <v>0</v>
      </c>
      <c r="G59" s="67">
        <f>IF(D54="Все",-SUMIFS('Постоянные затраты'!$H:$H,'Постоянные затраты'!$G:$G,"&lt;="&amp;$B59,'Постоянные затраты'!$B:$B,РасшифровкаЗатрат!G$7),-SUMIFS('Постоянные затраты'!$H:$H,'Постоянные затраты'!$G:$G,"&lt;="&amp;$B59,'Постоянные затраты'!$D:$D,$C$4,'Постоянные затраты'!$B:$B,РасшифровкаЗатрат!G$7))</f>
        <v>0</v>
      </c>
      <c r="H59" s="67">
        <f>IF(E54="Все",-SUMIFS('Постоянные затраты'!$H:$H,'Постоянные затраты'!$G:$G,"&lt;="&amp;$B59,'Постоянные затраты'!$B:$B,РасшифровкаЗатрат!H$7),-SUMIFS('Постоянные затраты'!$H:$H,'Постоянные затраты'!$G:$G,"&lt;="&amp;$B59,'Постоянные затраты'!$D:$D,$C$4,'Постоянные затраты'!$B:$B,РасшифровкаЗатрат!H$7))</f>
        <v>0</v>
      </c>
      <c r="I59" s="67">
        <f>IF(F54="Все",-SUMIFS('Постоянные затраты'!$H:$H,'Постоянные затраты'!$G:$G,"&lt;="&amp;$B59,'Постоянные затраты'!$B:$B,РасшифровкаЗатрат!I$7),-SUMIFS('Постоянные затраты'!$H:$H,'Постоянные затраты'!$G:$G,"&lt;="&amp;$B59,'Постоянные затраты'!$D:$D,$C$4,'Постоянные затраты'!$B:$B,РасшифровкаЗатрат!I$7))</f>
        <v>0</v>
      </c>
      <c r="J59" s="67">
        <f>-IF($C$4="Все",SUMIFS('Заёмные средства'!$P:$P,'Заёмные средства'!$F:$F,РасшифровкаЗатрат!$B59),0)</f>
        <v>0</v>
      </c>
      <c r="K59" s="67">
        <f t="shared" si="3"/>
        <v>0</v>
      </c>
    </row>
    <row r="60" spans="2:11" x14ac:dyDescent="0.25">
      <c r="B60" s="67">
        <f t="shared" si="5"/>
        <v>52</v>
      </c>
      <c r="C60" s="67">
        <f t="shared" si="4"/>
        <v>6</v>
      </c>
      <c r="D60" s="67">
        <f t="shared" si="0"/>
        <v>2022</v>
      </c>
      <c r="E60" s="122">
        <f t="shared" si="1"/>
        <v>44742</v>
      </c>
      <c r="F60" s="67">
        <f>IF(C55="Все",-SUMIFS('Постоянные затраты'!$H:$H,'Постоянные затраты'!$G:$G,"&lt;="&amp;$B60,'Постоянные затраты'!$B:$B,РасшифровкаЗатрат!F$7),-SUMIFS('Постоянные затраты'!$H:$H,'Постоянные затраты'!$G:$G,"&lt;="&amp;$B60,'Постоянные затраты'!$D:$D,$C$4,'Постоянные затраты'!$B:$B,РасшифровкаЗатрат!F$7))</f>
        <v>0</v>
      </c>
      <c r="G60" s="67">
        <f>IF(D55="Все",-SUMIFS('Постоянные затраты'!$H:$H,'Постоянные затраты'!$G:$G,"&lt;="&amp;$B60,'Постоянные затраты'!$B:$B,РасшифровкаЗатрат!G$7),-SUMIFS('Постоянные затраты'!$H:$H,'Постоянные затраты'!$G:$G,"&lt;="&amp;$B60,'Постоянные затраты'!$D:$D,$C$4,'Постоянные затраты'!$B:$B,РасшифровкаЗатрат!G$7))</f>
        <v>0</v>
      </c>
      <c r="H60" s="67">
        <f>IF(E55="Все",-SUMIFS('Постоянные затраты'!$H:$H,'Постоянные затраты'!$G:$G,"&lt;="&amp;$B60,'Постоянные затраты'!$B:$B,РасшифровкаЗатрат!H$7),-SUMIFS('Постоянные затраты'!$H:$H,'Постоянные затраты'!$G:$G,"&lt;="&amp;$B60,'Постоянные затраты'!$D:$D,$C$4,'Постоянные затраты'!$B:$B,РасшифровкаЗатрат!H$7))</f>
        <v>0</v>
      </c>
      <c r="I60" s="67">
        <f>IF(F55="Все",-SUMIFS('Постоянные затраты'!$H:$H,'Постоянные затраты'!$G:$G,"&lt;="&amp;$B60,'Постоянные затраты'!$B:$B,РасшифровкаЗатрат!I$7),-SUMIFS('Постоянные затраты'!$H:$H,'Постоянные затраты'!$G:$G,"&lt;="&amp;$B60,'Постоянные затраты'!$D:$D,$C$4,'Постоянные затраты'!$B:$B,РасшифровкаЗатрат!I$7))</f>
        <v>0</v>
      </c>
      <c r="J60" s="67">
        <f>-IF($C$4="Все",SUMIFS('Заёмные средства'!$P:$P,'Заёмные средства'!$F:$F,РасшифровкаЗатрат!$B60),0)</f>
        <v>0</v>
      </c>
      <c r="K60" s="67">
        <f t="shared" si="3"/>
        <v>0</v>
      </c>
    </row>
    <row r="61" spans="2:11" x14ac:dyDescent="0.25">
      <c r="B61" s="67">
        <f t="shared" si="5"/>
        <v>53</v>
      </c>
      <c r="C61" s="67">
        <f t="shared" si="4"/>
        <v>7</v>
      </c>
      <c r="D61" s="67">
        <f t="shared" si="0"/>
        <v>2022</v>
      </c>
      <c r="E61" s="122">
        <f t="shared" si="1"/>
        <v>44773</v>
      </c>
      <c r="F61" s="67">
        <f>IF(C56="Все",-SUMIFS('Постоянные затраты'!$H:$H,'Постоянные затраты'!$G:$G,"&lt;="&amp;$B61,'Постоянные затраты'!$B:$B,РасшифровкаЗатрат!F$7),-SUMIFS('Постоянные затраты'!$H:$H,'Постоянные затраты'!$G:$G,"&lt;="&amp;$B61,'Постоянные затраты'!$D:$D,$C$4,'Постоянные затраты'!$B:$B,РасшифровкаЗатрат!F$7))</f>
        <v>0</v>
      </c>
      <c r="G61" s="67">
        <f>IF(D56="Все",-SUMIFS('Постоянные затраты'!$H:$H,'Постоянные затраты'!$G:$G,"&lt;="&amp;$B61,'Постоянные затраты'!$B:$B,РасшифровкаЗатрат!G$7),-SUMIFS('Постоянные затраты'!$H:$H,'Постоянные затраты'!$G:$G,"&lt;="&amp;$B61,'Постоянные затраты'!$D:$D,$C$4,'Постоянные затраты'!$B:$B,РасшифровкаЗатрат!G$7))</f>
        <v>0</v>
      </c>
      <c r="H61" s="67">
        <f>IF(E56="Все",-SUMIFS('Постоянные затраты'!$H:$H,'Постоянные затраты'!$G:$G,"&lt;="&amp;$B61,'Постоянные затраты'!$B:$B,РасшифровкаЗатрат!H$7),-SUMIFS('Постоянные затраты'!$H:$H,'Постоянные затраты'!$G:$G,"&lt;="&amp;$B61,'Постоянные затраты'!$D:$D,$C$4,'Постоянные затраты'!$B:$B,РасшифровкаЗатрат!H$7))</f>
        <v>0</v>
      </c>
      <c r="I61" s="67">
        <f>IF(F56="Все",-SUMIFS('Постоянные затраты'!$H:$H,'Постоянные затраты'!$G:$G,"&lt;="&amp;$B61,'Постоянные затраты'!$B:$B,РасшифровкаЗатрат!I$7),-SUMIFS('Постоянные затраты'!$H:$H,'Постоянные затраты'!$G:$G,"&lt;="&amp;$B61,'Постоянные затраты'!$D:$D,$C$4,'Постоянные затраты'!$B:$B,РасшифровкаЗатрат!I$7))</f>
        <v>0</v>
      </c>
      <c r="J61" s="67">
        <f>-IF($C$4="Все",SUMIFS('Заёмные средства'!$P:$P,'Заёмные средства'!$F:$F,РасшифровкаЗатрат!$B61),0)</f>
        <v>0</v>
      </c>
      <c r="K61" s="67">
        <f t="shared" si="3"/>
        <v>0</v>
      </c>
    </row>
    <row r="62" spans="2:11" x14ac:dyDescent="0.25">
      <c r="B62" s="67">
        <f t="shared" si="5"/>
        <v>54</v>
      </c>
      <c r="C62" s="67">
        <f t="shared" si="4"/>
        <v>8</v>
      </c>
      <c r="D62" s="67">
        <f t="shared" si="0"/>
        <v>2022</v>
      </c>
      <c r="E62" s="122">
        <f t="shared" si="1"/>
        <v>44804</v>
      </c>
      <c r="F62" s="67">
        <f>IF(C57="Все",-SUMIFS('Постоянные затраты'!$H:$H,'Постоянные затраты'!$G:$G,"&lt;="&amp;$B62,'Постоянные затраты'!$B:$B,РасшифровкаЗатрат!F$7),-SUMIFS('Постоянные затраты'!$H:$H,'Постоянные затраты'!$G:$G,"&lt;="&amp;$B62,'Постоянные затраты'!$D:$D,$C$4,'Постоянные затраты'!$B:$B,РасшифровкаЗатрат!F$7))</f>
        <v>0</v>
      </c>
      <c r="G62" s="67">
        <f>IF(D57="Все",-SUMIFS('Постоянные затраты'!$H:$H,'Постоянные затраты'!$G:$G,"&lt;="&amp;$B62,'Постоянные затраты'!$B:$B,РасшифровкаЗатрат!G$7),-SUMIFS('Постоянные затраты'!$H:$H,'Постоянные затраты'!$G:$G,"&lt;="&amp;$B62,'Постоянные затраты'!$D:$D,$C$4,'Постоянные затраты'!$B:$B,РасшифровкаЗатрат!G$7))</f>
        <v>0</v>
      </c>
      <c r="H62" s="67">
        <f>IF(E57="Все",-SUMIFS('Постоянные затраты'!$H:$H,'Постоянные затраты'!$G:$G,"&lt;="&amp;$B62,'Постоянные затраты'!$B:$B,РасшифровкаЗатрат!H$7),-SUMIFS('Постоянные затраты'!$H:$H,'Постоянные затраты'!$G:$G,"&lt;="&amp;$B62,'Постоянные затраты'!$D:$D,$C$4,'Постоянные затраты'!$B:$B,РасшифровкаЗатрат!H$7))</f>
        <v>0</v>
      </c>
      <c r="I62" s="67">
        <f>IF(F57="Все",-SUMIFS('Постоянные затраты'!$H:$H,'Постоянные затраты'!$G:$G,"&lt;="&amp;$B62,'Постоянные затраты'!$B:$B,РасшифровкаЗатрат!I$7),-SUMIFS('Постоянные затраты'!$H:$H,'Постоянные затраты'!$G:$G,"&lt;="&amp;$B62,'Постоянные затраты'!$D:$D,$C$4,'Постоянные затраты'!$B:$B,РасшифровкаЗатрат!I$7))</f>
        <v>0</v>
      </c>
      <c r="J62" s="67">
        <f>-IF($C$4="Все",SUMIFS('Заёмные средства'!$P:$P,'Заёмные средства'!$F:$F,РасшифровкаЗатрат!$B62),0)</f>
        <v>0</v>
      </c>
      <c r="K62" s="67">
        <f t="shared" si="3"/>
        <v>0</v>
      </c>
    </row>
    <row r="63" spans="2:11" x14ac:dyDescent="0.25">
      <c r="B63" s="67">
        <f t="shared" si="5"/>
        <v>55</v>
      </c>
      <c r="C63" s="67">
        <f t="shared" si="4"/>
        <v>9</v>
      </c>
      <c r="D63" s="67">
        <f t="shared" si="0"/>
        <v>2022</v>
      </c>
      <c r="E63" s="122">
        <f t="shared" si="1"/>
        <v>44834</v>
      </c>
      <c r="F63" s="67">
        <f>IF(C58="Все",-SUMIFS('Постоянные затраты'!$H:$H,'Постоянные затраты'!$G:$G,"&lt;="&amp;$B63,'Постоянные затраты'!$B:$B,РасшифровкаЗатрат!F$7),-SUMIFS('Постоянные затраты'!$H:$H,'Постоянные затраты'!$G:$G,"&lt;="&amp;$B63,'Постоянные затраты'!$D:$D,$C$4,'Постоянные затраты'!$B:$B,РасшифровкаЗатрат!F$7))</f>
        <v>0</v>
      </c>
      <c r="G63" s="67">
        <f>IF(D58="Все",-SUMIFS('Постоянные затраты'!$H:$H,'Постоянные затраты'!$G:$G,"&lt;="&amp;$B63,'Постоянные затраты'!$B:$B,РасшифровкаЗатрат!G$7),-SUMIFS('Постоянные затраты'!$H:$H,'Постоянные затраты'!$G:$G,"&lt;="&amp;$B63,'Постоянные затраты'!$D:$D,$C$4,'Постоянные затраты'!$B:$B,РасшифровкаЗатрат!G$7))</f>
        <v>0</v>
      </c>
      <c r="H63" s="67">
        <f>IF(E58="Все",-SUMIFS('Постоянные затраты'!$H:$H,'Постоянные затраты'!$G:$G,"&lt;="&amp;$B63,'Постоянные затраты'!$B:$B,РасшифровкаЗатрат!H$7),-SUMIFS('Постоянные затраты'!$H:$H,'Постоянные затраты'!$G:$G,"&lt;="&amp;$B63,'Постоянные затраты'!$D:$D,$C$4,'Постоянные затраты'!$B:$B,РасшифровкаЗатрат!H$7))</f>
        <v>0</v>
      </c>
      <c r="I63" s="67">
        <f>IF(F58="Все",-SUMIFS('Постоянные затраты'!$H:$H,'Постоянные затраты'!$G:$G,"&lt;="&amp;$B63,'Постоянные затраты'!$B:$B,РасшифровкаЗатрат!I$7),-SUMIFS('Постоянные затраты'!$H:$H,'Постоянные затраты'!$G:$G,"&lt;="&amp;$B63,'Постоянные затраты'!$D:$D,$C$4,'Постоянные затраты'!$B:$B,РасшифровкаЗатрат!I$7))</f>
        <v>0</v>
      </c>
      <c r="J63" s="67">
        <f>-IF($C$4="Все",SUMIFS('Заёмные средства'!$P:$P,'Заёмные средства'!$F:$F,РасшифровкаЗатрат!$B63),0)</f>
        <v>0</v>
      </c>
      <c r="K63" s="67">
        <f t="shared" si="3"/>
        <v>0</v>
      </c>
    </row>
    <row r="64" spans="2:11" x14ac:dyDescent="0.25">
      <c r="B64" s="67">
        <f t="shared" si="5"/>
        <v>56</v>
      </c>
      <c r="C64" s="67">
        <f t="shared" si="4"/>
        <v>10</v>
      </c>
      <c r="D64" s="67">
        <f t="shared" si="0"/>
        <v>2022</v>
      </c>
      <c r="E64" s="122">
        <f t="shared" si="1"/>
        <v>44865</v>
      </c>
      <c r="F64" s="67">
        <f>IF(C59="Все",-SUMIFS('Постоянные затраты'!$H:$H,'Постоянные затраты'!$G:$G,"&lt;="&amp;$B64,'Постоянные затраты'!$B:$B,РасшифровкаЗатрат!F$7),-SUMIFS('Постоянные затраты'!$H:$H,'Постоянные затраты'!$G:$G,"&lt;="&amp;$B64,'Постоянные затраты'!$D:$D,$C$4,'Постоянные затраты'!$B:$B,РасшифровкаЗатрат!F$7))</f>
        <v>0</v>
      </c>
      <c r="G64" s="67">
        <f>IF(D59="Все",-SUMIFS('Постоянные затраты'!$H:$H,'Постоянные затраты'!$G:$G,"&lt;="&amp;$B64,'Постоянные затраты'!$B:$B,РасшифровкаЗатрат!G$7),-SUMIFS('Постоянные затраты'!$H:$H,'Постоянные затраты'!$G:$G,"&lt;="&amp;$B64,'Постоянные затраты'!$D:$D,$C$4,'Постоянные затраты'!$B:$B,РасшифровкаЗатрат!G$7))</f>
        <v>0</v>
      </c>
      <c r="H64" s="67">
        <f>IF(E59="Все",-SUMIFS('Постоянные затраты'!$H:$H,'Постоянные затраты'!$G:$G,"&lt;="&amp;$B64,'Постоянные затраты'!$B:$B,РасшифровкаЗатрат!H$7),-SUMIFS('Постоянные затраты'!$H:$H,'Постоянные затраты'!$G:$G,"&lt;="&amp;$B64,'Постоянные затраты'!$D:$D,$C$4,'Постоянные затраты'!$B:$B,РасшифровкаЗатрат!H$7))</f>
        <v>0</v>
      </c>
      <c r="I64" s="67">
        <f>IF(F59="Все",-SUMIFS('Постоянные затраты'!$H:$H,'Постоянные затраты'!$G:$G,"&lt;="&amp;$B64,'Постоянные затраты'!$B:$B,РасшифровкаЗатрат!I$7),-SUMIFS('Постоянные затраты'!$H:$H,'Постоянные затраты'!$G:$G,"&lt;="&amp;$B64,'Постоянные затраты'!$D:$D,$C$4,'Постоянные затраты'!$B:$B,РасшифровкаЗатрат!I$7))</f>
        <v>0</v>
      </c>
      <c r="J64" s="67">
        <f>-IF($C$4="Все",SUMIFS('Заёмные средства'!$P:$P,'Заёмные средства'!$F:$F,РасшифровкаЗатрат!$B64),0)</f>
        <v>0</v>
      </c>
      <c r="K64" s="67">
        <f t="shared" si="3"/>
        <v>0</v>
      </c>
    </row>
    <row r="65" spans="2:11" x14ac:dyDescent="0.25">
      <c r="B65" s="67">
        <f t="shared" si="5"/>
        <v>57</v>
      </c>
      <c r="C65" s="67">
        <f t="shared" si="4"/>
        <v>11</v>
      </c>
      <c r="D65" s="67">
        <f t="shared" si="0"/>
        <v>2022</v>
      </c>
      <c r="E65" s="122">
        <f t="shared" si="1"/>
        <v>44895</v>
      </c>
      <c r="F65" s="67">
        <f>IF(C60="Все",-SUMIFS('Постоянные затраты'!$H:$H,'Постоянные затраты'!$G:$G,"&lt;="&amp;$B65,'Постоянные затраты'!$B:$B,РасшифровкаЗатрат!F$7),-SUMIFS('Постоянные затраты'!$H:$H,'Постоянные затраты'!$G:$G,"&lt;="&amp;$B65,'Постоянные затраты'!$D:$D,$C$4,'Постоянные затраты'!$B:$B,РасшифровкаЗатрат!F$7))</f>
        <v>0</v>
      </c>
      <c r="G65" s="67">
        <f>IF(D60="Все",-SUMIFS('Постоянные затраты'!$H:$H,'Постоянные затраты'!$G:$G,"&lt;="&amp;$B65,'Постоянные затраты'!$B:$B,РасшифровкаЗатрат!G$7),-SUMIFS('Постоянные затраты'!$H:$H,'Постоянные затраты'!$G:$G,"&lt;="&amp;$B65,'Постоянные затраты'!$D:$D,$C$4,'Постоянные затраты'!$B:$B,РасшифровкаЗатрат!G$7))</f>
        <v>0</v>
      </c>
      <c r="H65" s="67">
        <f>IF(E60="Все",-SUMIFS('Постоянные затраты'!$H:$H,'Постоянные затраты'!$G:$G,"&lt;="&amp;$B65,'Постоянные затраты'!$B:$B,РасшифровкаЗатрат!H$7),-SUMIFS('Постоянные затраты'!$H:$H,'Постоянные затраты'!$G:$G,"&lt;="&amp;$B65,'Постоянные затраты'!$D:$D,$C$4,'Постоянные затраты'!$B:$B,РасшифровкаЗатрат!H$7))</f>
        <v>0</v>
      </c>
      <c r="I65" s="67">
        <f>IF(F60="Все",-SUMIFS('Постоянные затраты'!$H:$H,'Постоянные затраты'!$G:$G,"&lt;="&amp;$B65,'Постоянные затраты'!$B:$B,РасшифровкаЗатрат!I$7),-SUMIFS('Постоянные затраты'!$H:$H,'Постоянные затраты'!$G:$G,"&lt;="&amp;$B65,'Постоянные затраты'!$D:$D,$C$4,'Постоянные затраты'!$B:$B,РасшифровкаЗатрат!I$7))</f>
        <v>0</v>
      </c>
      <c r="J65" s="67">
        <f>-IF($C$4="Все",SUMIFS('Заёмные средства'!$P:$P,'Заёмные средства'!$F:$F,РасшифровкаЗатрат!$B65),0)</f>
        <v>0</v>
      </c>
      <c r="K65" s="67">
        <f t="shared" si="3"/>
        <v>0</v>
      </c>
    </row>
    <row r="66" spans="2:11" x14ac:dyDescent="0.25">
      <c r="B66" s="67">
        <f t="shared" si="5"/>
        <v>58</v>
      </c>
      <c r="C66" s="67">
        <f t="shared" si="4"/>
        <v>12</v>
      </c>
      <c r="D66" s="67">
        <f t="shared" si="0"/>
        <v>2022</v>
      </c>
      <c r="E66" s="122">
        <f t="shared" si="1"/>
        <v>44926</v>
      </c>
      <c r="F66" s="67">
        <f>IF(C61="Все",-SUMIFS('Постоянные затраты'!$H:$H,'Постоянные затраты'!$G:$G,"&lt;="&amp;$B66,'Постоянные затраты'!$B:$B,РасшифровкаЗатрат!F$7),-SUMIFS('Постоянные затраты'!$H:$H,'Постоянные затраты'!$G:$G,"&lt;="&amp;$B66,'Постоянные затраты'!$D:$D,$C$4,'Постоянные затраты'!$B:$B,РасшифровкаЗатрат!F$7))</f>
        <v>0</v>
      </c>
      <c r="G66" s="67">
        <f>IF(D61="Все",-SUMIFS('Постоянные затраты'!$H:$H,'Постоянные затраты'!$G:$G,"&lt;="&amp;$B66,'Постоянные затраты'!$B:$B,РасшифровкаЗатрат!G$7),-SUMIFS('Постоянные затраты'!$H:$H,'Постоянные затраты'!$G:$G,"&lt;="&amp;$B66,'Постоянные затраты'!$D:$D,$C$4,'Постоянные затраты'!$B:$B,РасшифровкаЗатрат!G$7))</f>
        <v>0</v>
      </c>
      <c r="H66" s="67">
        <f>IF(E61="Все",-SUMIFS('Постоянные затраты'!$H:$H,'Постоянные затраты'!$G:$G,"&lt;="&amp;$B66,'Постоянные затраты'!$B:$B,РасшифровкаЗатрат!H$7),-SUMIFS('Постоянные затраты'!$H:$H,'Постоянные затраты'!$G:$G,"&lt;="&amp;$B66,'Постоянные затраты'!$D:$D,$C$4,'Постоянные затраты'!$B:$B,РасшифровкаЗатрат!H$7))</f>
        <v>0</v>
      </c>
      <c r="I66" s="67">
        <f>IF(F61="Все",-SUMIFS('Постоянные затраты'!$H:$H,'Постоянные затраты'!$G:$G,"&lt;="&amp;$B66,'Постоянные затраты'!$B:$B,РасшифровкаЗатрат!I$7),-SUMIFS('Постоянные затраты'!$H:$H,'Постоянные затраты'!$G:$G,"&lt;="&amp;$B66,'Постоянные затраты'!$D:$D,$C$4,'Постоянные затраты'!$B:$B,РасшифровкаЗатрат!I$7))</f>
        <v>0</v>
      </c>
      <c r="J66" s="67">
        <f>-IF($C$4="Все",SUMIFS('Заёмные средства'!$P:$P,'Заёмные средства'!$F:$F,РасшифровкаЗатрат!$B66),0)</f>
        <v>0</v>
      </c>
      <c r="K66" s="67">
        <f t="shared" si="3"/>
        <v>0</v>
      </c>
    </row>
    <row r="67" spans="2:11" x14ac:dyDescent="0.25">
      <c r="B67" s="67">
        <f t="shared" si="5"/>
        <v>59</v>
      </c>
      <c r="C67" s="67">
        <f t="shared" si="4"/>
        <v>1</v>
      </c>
      <c r="D67" s="67">
        <f t="shared" si="0"/>
        <v>2023</v>
      </c>
      <c r="E67" s="122">
        <f t="shared" si="1"/>
        <v>44957</v>
      </c>
      <c r="F67" s="67">
        <f>IF(C62="Все",-SUMIFS('Постоянные затраты'!$H:$H,'Постоянные затраты'!$G:$G,"&lt;="&amp;$B67,'Постоянные затраты'!$B:$B,РасшифровкаЗатрат!F$7),-SUMIFS('Постоянные затраты'!$H:$H,'Постоянные затраты'!$G:$G,"&lt;="&amp;$B67,'Постоянные затраты'!$D:$D,$C$4,'Постоянные затраты'!$B:$B,РасшифровкаЗатрат!F$7))</f>
        <v>0</v>
      </c>
      <c r="G67" s="67">
        <f>IF(D62="Все",-SUMIFS('Постоянные затраты'!$H:$H,'Постоянные затраты'!$G:$G,"&lt;="&amp;$B67,'Постоянные затраты'!$B:$B,РасшифровкаЗатрат!G$7),-SUMIFS('Постоянные затраты'!$H:$H,'Постоянные затраты'!$G:$G,"&lt;="&amp;$B67,'Постоянные затраты'!$D:$D,$C$4,'Постоянные затраты'!$B:$B,РасшифровкаЗатрат!G$7))</f>
        <v>0</v>
      </c>
      <c r="H67" s="67">
        <f>IF(E62="Все",-SUMIFS('Постоянные затраты'!$H:$H,'Постоянные затраты'!$G:$G,"&lt;="&amp;$B67,'Постоянные затраты'!$B:$B,РасшифровкаЗатрат!H$7),-SUMIFS('Постоянные затраты'!$H:$H,'Постоянные затраты'!$G:$G,"&lt;="&amp;$B67,'Постоянные затраты'!$D:$D,$C$4,'Постоянные затраты'!$B:$B,РасшифровкаЗатрат!H$7))</f>
        <v>0</v>
      </c>
      <c r="I67" s="67">
        <f>IF(F62="Все",-SUMIFS('Постоянные затраты'!$H:$H,'Постоянные затраты'!$G:$G,"&lt;="&amp;$B67,'Постоянные затраты'!$B:$B,РасшифровкаЗатрат!I$7),-SUMIFS('Постоянные затраты'!$H:$H,'Постоянные затраты'!$G:$G,"&lt;="&amp;$B67,'Постоянные затраты'!$D:$D,$C$4,'Постоянные затраты'!$B:$B,РасшифровкаЗатрат!I$7))</f>
        <v>0</v>
      </c>
      <c r="J67" s="67">
        <f>-IF($C$4="Все",SUMIFS('Заёмные средства'!$P:$P,'Заёмные средства'!$F:$F,РасшифровкаЗатрат!$B67),0)</f>
        <v>0</v>
      </c>
      <c r="K67" s="67">
        <f t="shared" si="3"/>
        <v>0</v>
      </c>
    </row>
    <row r="68" spans="2:11" x14ac:dyDescent="0.25">
      <c r="B68" s="67">
        <f t="shared" si="5"/>
        <v>60</v>
      </c>
      <c r="C68" s="67">
        <f t="shared" si="4"/>
        <v>2</v>
      </c>
      <c r="D68" s="67">
        <f t="shared" si="0"/>
        <v>2023</v>
      </c>
      <c r="E68" s="122">
        <f t="shared" si="1"/>
        <v>44985</v>
      </c>
      <c r="F68" s="67">
        <f>IF(C63="Все",-SUMIFS('Постоянные затраты'!$H:$H,'Постоянные затраты'!$G:$G,"&lt;="&amp;$B68,'Постоянные затраты'!$B:$B,РасшифровкаЗатрат!F$7),-SUMIFS('Постоянные затраты'!$H:$H,'Постоянные затраты'!$G:$G,"&lt;="&amp;$B68,'Постоянные затраты'!$D:$D,$C$4,'Постоянные затраты'!$B:$B,РасшифровкаЗатрат!F$7))</f>
        <v>0</v>
      </c>
      <c r="G68" s="67">
        <f>IF(D63="Все",-SUMIFS('Постоянные затраты'!$H:$H,'Постоянные затраты'!$G:$G,"&lt;="&amp;$B68,'Постоянные затраты'!$B:$B,РасшифровкаЗатрат!G$7),-SUMIFS('Постоянные затраты'!$H:$H,'Постоянные затраты'!$G:$G,"&lt;="&amp;$B68,'Постоянные затраты'!$D:$D,$C$4,'Постоянные затраты'!$B:$B,РасшифровкаЗатрат!G$7))</f>
        <v>0</v>
      </c>
      <c r="H68" s="67">
        <f>IF(E63="Все",-SUMIFS('Постоянные затраты'!$H:$H,'Постоянные затраты'!$G:$G,"&lt;="&amp;$B68,'Постоянные затраты'!$B:$B,РасшифровкаЗатрат!H$7),-SUMIFS('Постоянные затраты'!$H:$H,'Постоянные затраты'!$G:$G,"&lt;="&amp;$B68,'Постоянные затраты'!$D:$D,$C$4,'Постоянные затраты'!$B:$B,РасшифровкаЗатрат!H$7))</f>
        <v>0</v>
      </c>
      <c r="I68" s="67">
        <f>IF(F63="Все",-SUMIFS('Постоянные затраты'!$H:$H,'Постоянные затраты'!$G:$G,"&lt;="&amp;$B68,'Постоянные затраты'!$B:$B,РасшифровкаЗатрат!I$7),-SUMIFS('Постоянные затраты'!$H:$H,'Постоянные затраты'!$G:$G,"&lt;="&amp;$B68,'Постоянные затраты'!$D:$D,$C$4,'Постоянные затраты'!$B:$B,РасшифровкаЗатрат!I$7))</f>
        <v>0</v>
      </c>
      <c r="J68" s="67">
        <f>-IF($C$4="Все",SUMIFS('Заёмные средства'!$P:$P,'Заёмные средства'!$F:$F,РасшифровкаЗатрат!$B68),0)</f>
        <v>0</v>
      </c>
      <c r="K68" s="67">
        <f t="shared" si="3"/>
        <v>0</v>
      </c>
    </row>
  </sheetData>
  <pageMargins left="0.7" right="0.7" top="0.75" bottom="0.75" header="0.3" footer="0.3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136231-E013-466A-9ADD-747C3FBE000C}">
          <x14:formula1>
            <xm:f>'Постоянные затраты'!$L$4:$L$13</xm:f>
          </x14:formula1>
          <xm:sqref>F7:J7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B1:AD66"/>
  <sheetViews>
    <sheetView showGridLines="0" topLeftCell="A4" workbookViewId="0">
      <selection activeCell="R11" sqref="R11:U11"/>
    </sheetView>
  </sheetViews>
  <sheetFormatPr defaultRowHeight="15" outlineLevelCol="1" x14ac:dyDescent="0.25"/>
  <cols>
    <col min="1" max="1" width="9.140625" style="1"/>
    <col min="2" max="4" width="9.28515625" style="1" bestFit="1" customWidth="1"/>
    <col min="5" max="5" width="10.28515625" style="110" bestFit="1" customWidth="1"/>
    <col min="6" max="6" width="9.140625" style="1"/>
    <col min="7" max="7" width="10.42578125" style="1" bestFit="1" customWidth="1"/>
    <col min="8" max="8" width="9.7109375" style="1" customWidth="1" outlineLevel="1"/>
    <col min="9" max="9" width="10.140625" style="1" customWidth="1" outlineLevel="1"/>
    <col min="10" max="15" width="12.42578125" style="1" customWidth="1" outlineLevel="1"/>
    <col min="16" max="16" width="16.42578125" style="1" customWidth="1" outlineLevel="1"/>
    <col min="17" max="20" width="11.42578125" style="1" bestFit="1" customWidth="1"/>
    <col min="21" max="22" width="16" style="1" customWidth="1"/>
    <col min="23" max="23" width="17" style="1" customWidth="1"/>
    <col min="24" max="24" width="15.85546875" style="1" customWidth="1"/>
    <col min="25" max="25" width="9.140625" style="1"/>
    <col min="26" max="26" width="13" style="1" customWidth="1"/>
    <col min="27" max="27" width="22.140625" style="1" bestFit="1" customWidth="1"/>
    <col min="28" max="28" width="16.42578125" style="1" bestFit="1" customWidth="1"/>
    <col min="29" max="29" width="23" style="1" bestFit="1" customWidth="1"/>
    <col min="30" max="30" width="16.42578125" style="1" bestFit="1" customWidth="1"/>
    <col min="31" max="32" width="13.5703125" style="1" bestFit="1" customWidth="1"/>
    <col min="33" max="38" width="8.85546875" style="1" bestFit="1" customWidth="1"/>
    <col min="39" max="39" width="11.85546875" style="1" bestFit="1" customWidth="1"/>
    <col min="40" max="16384" width="9.140625" style="1"/>
  </cols>
  <sheetData>
    <row r="1" spans="2:30" ht="21" x14ac:dyDescent="0.35">
      <c r="B1" s="43" t="s">
        <v>110</v>
      </c>
    </row>
    <row r="2" spans="2:30" ht="11.25" customHeight="1" x14ac:dyDescent="0.35">
      <c r="B2" s="95"/>
      <c r="C2" s="95"/>
      <c r="D2" s="95"/>
      <c r="E2" s="121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2:30" ht="15.75" thickBot="1" x14ac:dyDescent="0.3"/>
    <row r="4" spans="2:30" ht="16.5" thickTop="1" thickBot="1" x14ac:dyDescent="0.3">
      <c r="B4" s="253" t="s">
        <v>111</v>
      </c>
      <c r="C4" s="253"/>
      <c r="D4" s="253"/>
      <c r="E4" s="253"/>
      <c r="F4" s="253"/>
      <c r="G4" s="26"/>
      <c r="H4" s="253"/>
      <c r="I4" s="253"/>
      <c r="J4" s="253"/>
      <c r="K4" s="221"/>
      <c r="L4" s="261" t="s">
        <v>167</v>
      </c>
      <c r="M4" s="262"/>
      <c r="N4" s="262"/>
      <c r="O4" s="263"/>
      <c r="P4" s="155"/>
      <c r="Q4" s="261" t="s">
        <v>60</v>
      </c>
      <c r="R4" s="262"/>
      <c r="S4" s="262"/>
      <c r="T4" s="262"/>
      <c r="U4" s="262"/>
      <c r="V4" s="263"/>
      <c r="W4" s="253" t="s">
        <v>113</v>
      </c>
      <c r="X4" s="253"/>
    </row>
    <row r="5" spans="2:30" s="71" customFormat="1" ht="72.75" thickTop="1" thickBot="1" x14ac:dyDescent="0.3">
      <c r="B5" s="72" t="s">
        <v>45</v>
      </c>
      <c r="C5" s="72" t="s">
        <v>7</v>
      </c>
      <c r="D5" s="72" t="s">
        <v>46</v>
      </c>
      <c r="E5" s="144" t="s">
        <v>47</v>
      </c>
      <c r="F5" s="72" t="s">
        <v>11</v>
      </c>
      <c r="G5" s="72" t="s">
        <v>17</v>
      </c>
      <c r="H5" s="72"/>
      <c r="I5" s="72"/>
      <c r="J5" s="72" t="s">
        <v>37</v>
      </c>
      <c r="K5" s="222" t="s">
        <v>387</v>
      </c>
      <c r="L5" s="141" t="s">
        <v>85</v>
      </c>
      <c r="M5" s="141" t="s">
        <v>236</v>
      </c>
      <c r="N5" s="141" t="s">
        <v>238</v>
      </c>
      <c r="O5" s="141" t="s">
        <v>239</v>
      </c>
      <c r="P5" s="154" t="s">
        <v>240</v>
      </c>
      <c r="Q5" s="72" t="s">
        <v>85</v>
      </c>
      <c r="R5" s="72" t="s">
        <v>236</v>
      </c>
      <c r="S5" s="72" t="s">
        <v>238</v>
      </c>
      <c r="T5" s="72" t="s">
        <v>239</v>
      </c>
      <c r="U5" s="154" t="s">
        <v>240</v>
      </c>
      <c r="V5" s="222" t="s">
        <v>404</v>
      </c>
      <c r="W5" s="72" t="s">
        <v>98</v>
      </c>
      <c r="X5" s="72" t="s">
        <v>103</v>
      </c>
      <c r="Z5" s="105" t="s">
        <v>139</v>
      </c>
      <c r="AA5" s="105" t="s">
        <v>153</v>
      </c>
      <c r="AB5" s="105" t="s">
        <v>212</v>
      </c>
      <c r="AC5" s="105" t="s">
        <v>213</v>
      </c>
      <c r="AD5" s="105" t="s">
        <v>214</v>
      </c>
    </row>
    <row r="6" spans="2:30" ht="15.75" thickTop="1" x14ac:dyDescent="0.25">
      <c r="B6" s="67">
        <v>0</v>
      </c>
      <c r="C6" s="67">
        <f>Настройки!$I$9</f>
        <v>2</v>
      </c>
      <c r="D6" s="67">
        <f t="shared" ref="D6:D37" si="0">YEAR(E6)</f>
        <v>2018</v>
      </c>
      <c r="E6" s="122">
        <f>EOMONTH(Настройки!$I$7,'План продаж'!B6)</f>
        <v>43159</v>
      </c>
      <c r="F6" s="67" t="str">
        <f>INDEX(Сезонность!$G$7:$G$18,MATCH(C6,Сезонность!$F$7:$F$18,0),1)</f>
        <v>Зима</v>
      </c>
      <c r="G6" s="134">
        <f>INDEX(Сезонность!$H$6:$H$18,MATCH(C6,Сезонность!$F$6:$F$18,0),1)</f>
        <v>1</v>
      </c>
      <c r="H6" s="67"/>
      <c r="I6" s="67"/>
      <c r="J6" s="67">
        <f t="shared" ref="J6:J37" si="1">INDEX(Коэф_Сценария,MATCH(Нстр_Сценарий,Сценарии,0),1)</f>
        <v>1</v>
      </c>
      <c r="K6" s="229">
        <f>IFERROR(L6/'План продаж.Кол-во'!K7,0)</f>
        <v>0</v>
      </c>
      <c r="L6" s="67"/>
      <c r="M6" s="67">
        <f>РазбивкаДохода!F2*$J6*$G6</f>
        <v>0</v>
      </c>
      <c r="N6" s="67">
        <f>РазбивкаДохода!G2*$J6*$G6</f>
        <v>0</v>
      </c>
      <c r="O6" s="67">
        <f>РазбивкаДохода!H2*$J6*$G6</f>
        <v>0</v>
      </c>
      <c r="P6" s="67">
        <f>РазбивкаДохода!I2*$J6*$G6</f>
        <v>0</v>
      </c>
      <c r="Q6" s="129"/>
      <c r="R6" s="67"/>
      <c r="S6" s="67"/>
      <c r="T6" s="67"/>
      <c r="U6" s="67"/>
      <c r="V6" s="67"/>
      <c r="W6" s="67"/>
      <c r="X6" s="67"/>
      <c r="Z6" s="61">
        <v>2017</v>
      </c>
      <c r="AA6" s="58">
        <v>2958835.6626506029</v>
      </c>
      <c r="AB6" s="58">
        <v>2958835.6626506029</v>
      </c>
      <c r="AC6" s="58">
        <v>0</v>
      </c>
      <c r="AD6" s="58">
        <v>0</v>
      </c>
    </row>
    <row r="7" spans="2:30" x14ac:dyDescent="0.25">
      <c r="B7" s="67">
        <f t="shared" ref="B7:C10" si="2">B6+1</f>
        <v>1</v>
      </c>
      <c r="C7" s="67">
        <f t="shared" si="2"/>
        <v>3</v>
      </c>
      <c r="D7" s="67">
        <f t="shared" si="0"/>
        <v>2018</v>
      </c>
      <c r="E7" s="122">
        <f>EOMONTH(Настройки!$I$7,'План продаж'!B7)</f>
        <v>43190</v>
      </c>
      <c r="F7" s="67" t="str">
        <f>INDEX(Сезонность!$G$7:$G$18,MATCH(C7,Сезонность!$F$7:$F$18,0),1)</f>
        <v>Весна</v>
      </c>
      <c r="G7" s="134">
        <f>INDEX(Сезонность!$H$6:$H$18,MATCH(C7,Сезонность!$F$6:$F$18,0),1)</f>
        <v>1</v>
      </c>
      <c r="H7" s="67"/>
      <c r="I7" s="67"/>
      <c r="J7" s="67">
        <f t="shared" si="1"/>
        <v>1</v>
      </c>
      <c r="K7" s="229">
        <f>IFERROR(L7/'План продаж.Кол-во'!K8,0)</f>
        <v>53.896000000000008</v>
      </c>
      <c r="L7" s="129">
        <f>SUM(M7:P7)</f>
        <v>1260000</v>
      </c>
      <c r="M7" s="67">
        <f>РазбивкаДохода!F3*$J7*$G7</f>
        <v>360000</v>
      </c>
      <c r="N7" s="67">
        <f>РазбивкаДохода!G3*$J7*$G7</f>
        <v>900000</v>
      </c>
      <c r="O7" s="67">
        <f>РазбивкаДохода!H3*$J7*$G7</f>
        <v>0</v>
      </c>
      <c r="P7" s="67">
        <f>РазбивкаДохода!I3*$J7*$G7</f>
        <v>0</v>
      </c>
      <c r="Q7" s="129">
        <f>SUM(R7:V7)</f>
        <v>869399.99999999977</v>
      </c>
      <c r="R7" s="67">
        <f>M7*РазбивкаДохода!J2</f>
        <v>269999.99999999994</v>
      </c>
      <c r="S7" s="67">
        <f>N7*РазбивкаДохода!J3</f>
        <v>674999.99999999988</v>
      </c>
      <c r="T7" s="67">
        <f>O7*РазбивкаДохода!$K2</f>
        <v>0</v>
      </c>
      <c r="U7" s="67">
        <f>P7*РазбивкаДохода!J2</f>
        <v>0</v>
      </c>
      <c r="V7" s="67">
        <f>-прцПремия*(M7+N7)</f>
        <v>-75600</v>
      </c>
      <c r="W7" s="67">
        <f>'Скидки и клиентская база'!T8*Нстр.Скидка</f>
        <v>0</v>
      </c>
      <c r="X7" s="67">
        <f>'Скидки и клиентская база'!U8</f>
        <v>0</v>
      </c>
      <c r="Z7" s="61">
        <v>2018</v>
      </c>
      <c r="AA7" s="58">
        <v>28404822.361445785</v>
      </c>
      <c r="AB7" s="58">
        <v>17753013.975903615</v>
      </c>
      <c r="AC7" s="58">
        <v>7692972.7228915673</v>
      </c>
      <c r="AD7" s="58">
        <v>2958835.6626506029</v>
      </c>
    </row>
    <row r="8" spans="2:30" x14ac:dyDescent="0.25">
      <c r="B8" s="67">
        <f t="shared" si="2"/>
        <v>2</v>
      </c>
      <c r="C8" s="67">
        <f t="shared" si="2"/>
        <v>4</v>
      </c>
      <c r="D8" s="67">
        <f t="shared" si="0"/>
        <v>2018</v>
      </c>
      <c r="E8" s="122">
        <f>EOMONTH(Настройки!$I$7,'План продаж'!B8)</f>
        <v>43220</v>
      </c>
      <c r="F8" s="67" t="str">
        <f>INDEX(Сезонность!$G$7:$G$18,MATCH(C8,Сезонность!$F$7:$F$18,0),1)</f>
        <v>Весна</v>
      </c>
      <c r="G8" s="134">
        <f>INDEX(Сезонность!$H$6:$H$18,MATCH(C8,Сезонность!$F$6:$F$18,0),1)</f>
        <v>1</v>
      </c>
      <c r="H8" s="67"/>
      <c r="I8" s="67"/>
      <c r="J8" s="67">
        <f t="shared" si="1"/>
        <v>1</v>
      </c>
      <c r="K8" s="229">
        <f>IFERROR(L8/'План продаж.Кол-во'!K9,0)</f>
        <v>48.56456115107914</v>
      </c>
      <c r="L8" s="129">
        <f t="shared" ref="L8:L66" si="3">SUM(M8:P8)</f>
        <v>1670000</v>
      </c>
      <c r="M8" s="67">
        <f>РазбивкаДохода!F4*$J8*$G8</f>
        <v>360000</v>
      </c>
      <c r="N8" s="67">
        <f>РазбивкаДохода!G4*$J8*$G8</f>
        <v>900000</v>
      </c>
      <c r="O8" s="67">
        <f>РазбивкаДохода!H4*$J8*$G8</f>
        <v>110000</v>
      </c>
      <c r="P8" s="67">
        <f>РазбивкаДохода!I4*$J8*$G8</f>
        <v>300000</v>
      </c>
      <c r="Q8" s="129">
        <f t="shared" ref="Q8:Q66" si="4">SUM(R8:V8)</f>
        <v>1131066.6666666663</v>
      </c>
      <c r="R8" s="67">
        <f>M8*РазбивкаДохода!J3</f>
        <v>269999.99999999994</v>
      </c>
      <c r="S8" s="67">
        <f>N8*РазбивкаДохода!J4</f>
        <v>674999.99999999988</v>
      </c>
      <c r="T8" s="67">
        <f>O8*РазбивкаДохода!$K3</f>
        <v>36666.666666666657</v>
      </c>
      <c r="U8" s="67">
        <f>P8*РазбивкаДохода!J3</f>
        <v>224999.99999999997</v>
      </c>
      <c r="V8" s="67">
        <f t="shared" ref="V8:V38" si="5">-прцПремия*(M8+N8)</f>
        <v>-75600</v>
      </c>
      <c r="W8" s="67">
        <f>'Скидки и клиентская база'!T9*Нстр.Скидка</f>
        <v>0</v>
      </c>
      <c r="X8" s="67">
        <f>'Скидки и клиентская база'!U9</f>
        <v>0</v>
      </c>
      <c r="Z8" s="61">
        <v>2019</v>
      </c>
      <c r="AA8" s="58">
        <v>77521494.361445785</v>
      </c>
      <c r="AB8" s="58">
        <v>23078918.1686747</v>
      </c>
      <c r="AC8" s="58">
        <v>36689562.216867469</v>
      </c>
      <c r="AD8" s="58">
        <v>17753013.975903615</v>
      </c>
    </row>
    <row r="9" spans="2:30" x14ac:dyDescent="0.25">
      <c r="B9" s="67">
        <f t="shared" si="2"/>
        <v>3</v>
      </c>
      <c r="C9" s="67">
        <f t="shared" si="2"/>
        <v>5</v>
      </c>
      <c r="D9" s="67">
        <f t="shared" si="0"/>
        <v>2018</v>
      </c>
      <c r="E9" s="122">
        <f>EOMONTH(Настройки!$I$7,'План продаж'!B9)</f>
        <v>43251</v>
      </c>
      <c r="F9" s="67" t="str">
        <f>INDEX(Сезонность!$G$7:$G$18,MATCH(C9,Сезонность!$F$7:$F$18,0),1)</f>
        <v>Весна</v>
      </c>
      <c r="G9" s="134">
        <f>INDEX(Сезонность!$H$6:$H$18,MATCH(C9,Сезонность!$F$6:$F$18,0),1)</f>
        <v>0.75</v>
      </c>
      <c r="H9" s="67"/>
      <c r="I9" s="67"/>
      <c r="J9" s="67">
        <f t="shared" si="1"/>
        <v>1</v>
      </c>
      <c r="K9" s="229">
        <f>IFERROR(L9/'План продаж.Кол-во'!K10,0)</f>
        <v>48.564561151079133</v>
      </c>
      <c r="L9" s="129">
        <f t="shared" si="3"/>
        <v>1252500</v>
      </c>
      <c r="M9" s="67">
        <f>РазбивкаДохода!F5*$J9*$G9</f>
        <v>270000</v>
      </c>
      <c r="N9" s="67">
        <f>РазбивкаДохода!G5*$J9*$G9</f>
        <v>675000</v>
      </c>
      <c r="O9" s="67">
        <f>РазбивкаДохода!H5*$J9*$G9</f>
        <v>82500</v>
      </c>
      <c r="P9" s="67">
        <f>РазбивкаДохода!I5*$J9*$G9</f>
        <v>225000</v>
      </c>
      <c r="Q9" s="129">
        <f t="shared" si="4"/>
        <v>848299.99999999988</v>
      </c>
      <c r="R9" s="67">
        <f>M9*РазбивкаДохода!J4</f>
        <v>202499.99999999997</v>
      </c>
      <c r="S9" s="67">
        <f>N9*РазбивкаДохода!J5</f>
        <v>506249.99999999994</v>
      </c>
      <c r="T9" s="67">
        <f>O9*РазбивкаДохода!$K4</f>
        <v>27499.999999999993</v>
      </c>
      <c r="U9" s="67">
        <f>P9*РазбивкаДохода!J4</f>
        <v>168749.99999999997</v>
      </c>
      <c r="V9" s="67">
        <f t="shared" si="5"/>
        <v>-56700</v>
      </c>
      <c r="W9" s="67">
        <f>'Скидки и клиентская база'!T10*Нстр.Скидка</f>
        <v>0</v>
      </c>
      <c r="X9" s="67">
        <f>'Скидки и клиентская база'!U10</f>
        <v>0</v>
      </c>
      <c r="Z9" s="61">
        <v>2020</v>
      </c>
      <c r="AA9" s="58">
        <v>92315672.6746988</v>
      </c>
      <c r="AB9" s="58">
        <v>23078918.1686747</v>
      </c>
      <c r="AC9" s="58">
        <v>46157836.3373494</v>
      </c>
      <c r="AD9" s="58">
        <v>23078918.1686747</v>
      </c>
    </row>
    <row r="10" spans="2:30" x14ac:dyDescent="0.25">
      <c r="B10" s="67">
        <f t="shared" si="2"/>
        <v>4</v>
      </c>
      <c r="C10" s="67">
        <f t="shared" si="2"/>
        <v>6</v>
      </c>
      <c r="D10" s="67">
        <f t="shared" si="0"/>
        <v>2018</v>
      </c>
      <c r="E10" s="122">
        <f>EOMONTH(Настройки!$I$7,'План продаж'!B10)</f>
        <v>43281</v>
      </c>
      <c r="F10" s="67" t="str">
        <f>INDEX(Сезонность!$G$7:$G$18,MATCH(C10,Сезонность!$F$7:$F$18,0),1)</f>
        <v>Лето</v>
      </c>
      <c r="G10" s="134">
        <f>INDEX(Сезонность!$H$6:$H$18,MATCH(C10,Сезонность!$F$6:$F$18,0),1)</f>
        <v>0.75</v>
      </c>
      <c r="H10" s="67"/>
      <c r="I10" s="67"/>
      <c r="J10" s="67">
        <f t="shared" si="1"/>
        <v>1</v>
      </c>
      <c r="K10" s="229">
        <f>IFERROR(L10/'План продаж.Кол-во'!K11,0)</f>
        <v>48.564561151079133</v>
      </c>
      <c r="L10" s="129">
        <f t="shared" si="3"/>
        <v>1252500</v>
      </c>
      <c r="M10" s="67">
        <f>РазбивкаДохода!F6*$J10*$G10</f>
        <v>270000</v>
      </c>
      <c r="N10" s="67">
        <f>РазбивкаДохода!G6*$J10*$G10</f>
        <v>675000</v>
      </c>
      <c r="O10" s="67">
        <f>РазбивкаДохода!H6*$J10*$G10</f>
        <v>82500</v>
      </c>
      <c r="P10" s="67">
        <f>РазбивкаДохода!I6*$J10*$G10</f>
        <v>225000</v>
      </c>
      <c r="Q10" s="129">
        <f t="shared" si="4"/>
        <v>848299.99999999988</v>
      </c>
      <c r="R10" s="67">
        <f>M10*РазбивкаДохода!J5</f>
        <v>202499.99999999997</v>
      </c>
      <c r="S10" s="67">
        <f>N10*РазбивкаДохода!J6</f>
        <v>506249.99999999994</v>
      </c>
      <c r="T10" s="67">
        <f>O10*РазбивкаДохода!$K5</f>
        <v>27499.999999999993</v>
      </c>
      <c r="U10" s="67">
        <f>P10*РазбивкаДохода!J5</f>
        <v>168749.99999999997</v>
      </c>
      <c r="V10" s="67">
        <f t="shared" si="5"/>
        <v>-56700</v>
      </c>
      <c r="W10" s="67">
        <f>'Скидки и клиентская база'!T11*Нстр.Скидка</f>
        <v>0</v>
      </c>
      <c r="X10" s="67">
        <f>'Скидки и клиентская база'!U11</f>
        <v>0</v>
      </c>
      <c r="Z10" s="61">
        <v>2021</v>
      </c>
      <c r="AA10" s="58">
        <v>92315672.6746988</v>
      </c>
      <c r="AB10" s="58">
        <v>23078918.1686747</v>
      </c>
      <c r="AC10" s="58">
        <v>46157836.3373494</v>
      </c>
      <c r="AD10" s="58">
        <v>23078918.1686747</v>
      </c>
    </row>
    <row r="11" spans="2:30" x14ac:dyDescent="0.25">
      <c r="B11" s="67">
        <f t="shared" ref="B11:B42" si="6">B10+1</f>
        <v>5</v>
      </c>
      <c r="C11" s="67">
        <f t="shared" ref="C11:C42" si="7">IF(C10=12,1,C10+1)</f>
        <v>7</v>
      </c>
      <c r="D11" s="67">
        <f t="shared" si="0"/>
        <v>2018</v>
      </c>
      <c r="E11" s="122">
        <f>EOMONTH(Настройки!$I$7,'План продаж'!B11)</f>
        <v>43312</v>
      </c>
      <c r="F11" s="67" t="str">
        <f>INDEX(Сезонность!$G$7:$G$18,MATCH(C11,Сезонность!$F$7:$F$18,0),1)</f>
        <v>Лето</v>
      </c>
      <c r="G11" s="134">
        <f>INDEX(Сезонность!$H$6:$H$18,MATCH(C11,Сезонность!$F$6:$F$18,0),1)</f>
        <v>0.75</v>
      </c>
      <c r="H11" s="67"/>
      <c r="I11" s="67"/>
      <c r="J11" s="67">
        <f t="shared" si="1"/>
        <v>1</v>
      </c>
      <c r="K11" s="229">
        <f>IFERROR(L11/'План продаж.Кол-во'!K12,0)</f>
        <v>40.159762743280815</v>
      </c>
      <c r="L11" s="129">
        <f t="shared" si="3"/>
        <v>2010000</v>
      </c>
      <c r="M11" s="67">
        <f>РазбивкаДохода!F7*$J11*$G11</f>
        <v>360000</v>
      </c>
      <c r="N11" s="67">
        <f>РазбивкаДохода!G7*$J11*$G11</f>
        <v>787500</v>
      </c>
      <c r="O11" s="67">
        <f>РазбивкаДохода!H7*$J11*$G11</f>
        <v>412500</v>
      </c>
      <c r="P11" s="67">
        <f>РазбивкаДохода!I7*$J11*$G11</f>
        <v>450000</v>
      </c>
      <c r="Q11" s="129">
        <f t="shared" si="4"/>
        <v>1266774.9999999998</v>
      </c>
      <c r="R11" s="67">
        <f>M11*РазбивкаДохода!J6</f>
        <v>269999.99999999994</v>
      </c>
      <c r="S11" s="67">
        <f>N11*РазбивкаДохода!J7</f>
        <v>590624.99999999988</v>
      </c>
      <c r="T11" s="67">
        <f>O11*РазбивкаДохода!$K6</f>
        <v>137499.99999999997</v>
      </c>
      <c r="U11" s="67">
        <f>P11*РазбивкаДохода!J6</f>
        <v>337499.99999999994</v>
      </c>
      <c r="V11" s="67">
        <f t="shared" si="5"/>
        <v>-68850</v>
      </c>
      <c r="W11" s="67">
        <f>'Скидки и клиентская база'!T12*Нстр.Скидка</f>
        <v>0</v>
      </c>
      <c r="X11" s="67">
        <f>'Скидки и клиентская база'!U12</f>
        <v>0</v>
      </c>
      <c r="Z11" s="61">
        <v>2022</v>
      </c>
      <c r="AA11" s="58">
        <v>61543781.783132531</v>
      </c>
      <c r="AB11" s="58">
        <v>15385945.445783133</v>
      </c>
      <c r="AC11" s="58">
        <v>30771890.891566265</v>
      </c>
      <c r="AD11" s="58">
        <v>15385945.445783133</v>
      </c>
    </row>
    <row r="12" spans="2:30" x14ac:dyDescent="0.25">
      <c r="B12" s="67">
        <f t="shared" si="6"/>
        <v>6</v>
      </c>
      <c r="C12" s="67">
        <f t="shared" si="7"/>
        <v>8</v>
      </c>
      <c r="D12" s="67">
        <f t="shared" si="0"/>
        <v>2018</v>
      </c>
      <c r="E12" s="122">
        <f>EOMONTH(Настройки!$I$7,'План продаж'!B12)</f>
        <v>43343</v>
      </c>
      <c r="F12" s="67" t="str">
        <f>INDEX(Сезонность!$G$7:$G$18,MATCH(C12,Сезонность!$F$7:$F$18,0),1)</f>
        <v>Лето</v>
      </c>
      <c r="G12" s="134">
        <f>INDEX(Сезонность!$H$6:$H$18,MATCH(C12,Сезонность!$F$6:$F$18,0),1)</f>
        <v>0.75</v>
      </c>
      <c r="H12" s="67"/>
      <c r="I12" s="67"/>
      <c r="J12" s="67">
        <f t="shared" si="1"/>
        <v>1</v>
      </c>
      <c r="K12" s="229">
        <f>IFERROR(L12/'План продаж.Кол-во'!K13,0)</f>
        <v>40.159762743280815</v>
      </c>
      <c r="L12" s="129">
        <f t="shared" si="3"/>
        <v>2010000</v>
      </c>
      <c r="M12" s="67">
        <f>РазбивкаДохода!F8*$J12*$G12</f>
        <v>360000</v>
      </c>
      <c r="N12" s="67">
        <f>РазбивкаДохода!G8*$J12*$G12</f>
        <v>787500</v>
      </c>
      <c r="O12" s="67">
        <f>РазбивкаДохода!H8*$J12*$G12</f>
        <v>412500</v>
      </c>
      <c r="P12" s="67">
        <f>РазбивкаДохода!I8*$J12*$G12</f>
        <v>450000</v>
      </c>
      <c r="Q12" s="129">
        <f t="shared" si="4"/>
        <v>1266774.9999999998</v>
      </c>
      <c r="R12" s="67">
        <f>M12*РазбивкаДохода!J7</f>
        <v>269999.99999999994</v>
      </c>
      <c r="S12" s="67">
        <f>N12*РазбивкаДохода!J8</f>
        <v>590624.99999999988</v>
      </c>
      <c r="T12" s="67">
        <f>O12*РазбивкаДохода!$K7</f>
        <v>137499.99999999997</v>
      </c>
      <c r="U12" s="67">
        <f>P12*РазбивкаДохода!J7</f>
        <v>337499.99999999994</v>
      </c>
      <c r="V12" s="67">
        <f t="shared" si="5"/>
        <v>-68850</v>
      </c>
      <c r="W12" s="67">
        <f>'Скидки и клиентская база'!T13*Нстр.Скидка</f>
        <v>0</v>
      </c>
      <c r="X12" s="67">
        <f>'Скидки и клиентская база'!U13</f>
        <v>0</v>
      </c>
      <c r="Z12" s="61" t="s">
        <v>138</v>
      </c>
      <c r="AA12" s="58">
        <v>355060279.51807237</v>
      </c>
      <c r="AB12" s="58">
        <v>105334549.59036146</v>
      </c>
      <c r="AC12" s="58">
        <v>167470098.50602412</v>
      </c>
      <c r="AD12" s="58">
        <v>82255631.421686754</v>
      </c>
    </row>
    <row r="13" spans="2:30" x14ac:dyDescent="0.25">
      <c r="B13" s="67">
        <f t="shared" si="6"/>
        <v>7</v>
      </c>
      <c r="C13" s="67">
        <f t="shared" si="7"/>
        <v>9</v>
      </c>
      <c r="D13" s="67">
        <f t="shared" si="0"/>
        <v>2018</v>
      </c>
      <c r="E13" s="122">
        <f>EOMONTH(Настройки!$I$7,'План продаж'!B13)</f>
        <v>43373</v>
      </c>
      <c r="F13" s="67" t="str">
        <f>INDEX(Сезонность!$G$7:$G$18,MATCH(C13,Сезонность!$F$7:$F$18,0),1)</f>
        <v>Осень</v>
      </c>
      <c r="G13" s="134">
        <f>INDEX(Сезонность!$H$6:$H$18,MATCH(C13,Сезонность!$F$6:$F$18,0),1)</f>
        <v>0.75</v>
      </c>
      <c r="H13" s="67"/>
      <c r="I13" s="67"/>
      <c r="J13" s="67">
        <f t="shared" si="1"/>
        <v>1</v>
      </c>
      <c r="K13" s="229">
        <f>IFERROR(L13/'План продаж.Кол-во'!K14,0)</f>
        <v>40.159762743280815</v>
      </c>
      <c r="L13" s="129">
        <f t="shared" si="3"/>
        <v>2010000</v>
      </c>
      <c r="M13" s="67">
        <f>РазбивкаДохода!F9*$J13*$G13</f>
        <v>360000</v>
      </c>
      <c r="N13" s="67">
        <f>РазбивкаДохода!G9*$J13*$G13</f>
        <v>787500</v>
      </c>
      <c r="O13" s="67">
        <f>РазбивкаДохода!H9*$J13*$G13</f>
        <v>412500</v>
      </c>
      <c r="P13" s="67">
        <f>РазбивкаДохода!I9*$J13*$G13</f>
        <v>450000</v>
      </c>
      <c r="Q13" s="129">
        <f t="shared" si="4"/>
        <v>1266774.9999999998</v>
      </c>
      <c r="R13" s="67">
        <f>M13*РазбивкаДохода!J8</f>
        <v>269999.99999999994</v>
      </c>
      <c r="S13" s="67">
        <f>N13*РазбивкаДохода!J9</f>
        <v>590624.99999999988</v>
      </c>
      <c r="T13" s="67">
        <f>O13*РазбивкаДохода!$K8</f>
        <v>137499.99999999997</v>
      </c>
      <c r="U13" s="67">
        <f>P13*РазбивкаДохода!J8</f>
        <v>337499.99999999994</v>
      </c>
      <c r="V13" s="67">
        <f t="shared" si="5"/>
        <v>-68850</v>
      </c>
      <c r="W13" s="67">
        <f>'Скидки и клиентская база'!T14*Нстр.Скидка</f>
        <v>0</v>
      </c>
      <c r="X13" s="67">
        <f>'Скидки и клиентская база'!U14</f>
        <v>0</v>
      </c>
    </row>
    <row r="14" spans="2:30" x14ac:dyDescent="0.25">
      <c r="B14" s="67">
        <f t="shared" si="6"/>
        <v>8</v>
      </c>
      <c r="C14" s="67">
        <f t="shared" si="7"/>
        <v>10</v>
      </c>
      <c r="D14" s="67">
        <f t="shared" si="0"/>
        <v>2018</v>
      </c>
      <c r="E14" s="122">
        <f>EOMONTH(Настройки!$I$7,'План продаж'!B14)</f>
        <v>43404</v>
      </c>
      <c r="F14" s="67" t="str">
        <f>INDEX(Сезонность!$G$7:$G$18,MATCH(C14,Сезонность!$F$7:$F$18,0),1)</f>
        <v>Осень</v>
      </c>
      <c r="G14" s="134">
        <f>INDEX(Сезонность!$H$6:$H$18,MATCH(C14,Сезонность!$F$6:$F$18,0),1)</f>
        <v>1</v>
      </c>
      <c r="H14" s="67"/>
      <c r="I14" s="67"/>
      <c r="J14" s="67">
        <f t="shared" si="1"/>
        <v>1</v>
      </c>
      <c r="K14" s="229">
        <f>IFERROR(L14/'План продаж.Кол-во'!K15,0)</f>
        <v>40.159762743280808</v>
      </c>
      <c r="L14" s="129">
        <f t="shared" si="3"/>
        <v>2680000</v>
      </c>
      <c r="M14" s="67">
        <f>РазбивкаДохода!F10*$J14*$G14</f>
        <v>480000</v>
      </c>
      <c r="N14" s="67">
        <f>РазбивкаДохода!G10*$J14*$G14</f>
        <v>1050000</v>
      </c>
      <c r="O14" s="67">
        <f>РазбивкаДохода!H10*$J14*$G14</f>
        <v>550000</v>
      </c>
      <c r="P14" s="67">
        <f>РазбивкаДохода!I10*$J14*$G14</f>
        <v>600000</v>
      </c>
      <c r="Q14" s="129">
        <f t="shared" si="4"/>
        <v>1689033.333333333</v>
      </c>
      <c r="R14" s="67">
        <f>M14*РазбивкаДохода!J9</f>
        <v>359999.99999999994</v>
      </c>
      <c r="S14" s="67">
        <f>N14*РазбивкаДохода!J10</f>
        <v>787499.99999999988</v>
      </c>
      <c r="T14" s="67">
        <f>O14*РазбивкаДохода!$K9</f>
        <v>183333.33333333328</v>
      </c>
      <c r="U14" s="67">
        <f>P14*РазбивкаДохода!J9</f>
        <v>449999.99999999994</v>
      </c>
      <c r="V14" s="67">
        <f t="shared" si="5"/>
        <v>-91800</v>
      </c>
      <c r="W14" s="67">
        <f>'Скидки и клиентская база'!T15*Нстр.Скидка</f>
        <v>0</v>
      </c>
      <c r="X14" s="67">
        <f>'Скидки и клиентская база'!U15</f>
        <v>-25799.638554216868</v>
      </c>
    </row>
    <row r="15" spans="2:30" x14ac:dyDescent="0.25">
      <c r="B15" s="67">
        <f t="shared" si="6"/>
        <v>9</v>
      </c>
      <c r="C15" s="67">
        <f t="shared" si="7"/>
        <v>11</v>
      </c>
      <c r="D15" s="67">
        <f t="shared" si="0"/>
        <v>2018</v>
      </c>
      <c r="E15" s="122">
        <f>EOMONTH(Настройки!$I$7,'План продаж'!B15)</f>
        <v>43434</v>
      </c>
      <c r="F15" s="67" t="str">
        <f>INDEX(Сезонность!$G$7:$G$18,MATCH(C15,Сезонность!$F$7:$F$18,0),1)</f>
        <v>Осень</v>
      </c>
      <c r="G15" s="134">
        <f>INDEX(Сезонность!$H$6:$H$18,MATCH(C15,Сезонность!$F$6:$F$18,0),1)</f>
        <v>1</v>
      </c>
      <c r="H15" s="67"/>
      <c r="I15" s="67"/>
      <c r="J15" s="67">
        <f t="shared" si="1"/>
        <v>1</v>
      </c>
      <c r="K15" s="229">
        <f>IFERROR(L15/'План продаж.Кол-во'!K16,0)</f>
        <v>40.159762743280808</v>
      </c>
      <c r="L15" s="129">
        <f t="shared" si="3"/>
        <v>2680000</v>
      </c>
      <c r="M15" s="67">
        <f>РазбивкаДохода!F11*$J15*$G15</f>
        <v>480000</v>
      </c>
      <c r="N15" s="67">
        <f>РазбивкаДохода!G11*$J15*$G15</f>
        <v>1050000</v>
      </c>
      <c r="O15" s="67">
        <f>РазбивкаДохода!H11*$J15*$G15</f>
        <v>550000</v>
      </c>
      <c r="P15" s="67">
        <f>РазбивкаДохода!I11*$J15*$G15</f>
        <v>600000</v>
      </c>
      <c r="Q15" s="129">
        <f t="shared" si="4"/>
        <v>1689033.333333333</v>
      </c>
      <c r="R15" s="67">
        <f>M15*РазбивкаДохода!J10</f>
        <v>359999.99999999994</v>
      </c>
      <c r="S15" s="67">
        <f>N15*РазбивкаДохода!J11</f>
        <v>787499.99999999988</v>
      </c>
      <c r="T15" s="67">
        <f>O15*РазбивкаДохода!$K10</f>
        <v>183333.33333333328</v>
      </c>
      <c r="U15" s="67">
        <f>P15*РазбивкаДохода!J10</f>
        <v>449999.99999999994</v>
      </c>
      <c r="V15" s="67">
        <f t="shared" si="5"/>
        <v>-91800</v>
      </c>
      <c r="W15" s="67">
        <f>'Скидки и клиентская база'!T16*Нстр.Скидка</f>
        <v>0</v>
      </c>
      <c r="X15" s="67">
        <f>'Скидки и клиентская база'!U16</f>
        <v>-25799.638554216868</v>
      </c>
    </row>
    <row r="16" spans="2:30" x14ac:dyDescent="0.25">
      <c r="B16" s="67">
        <f t="shared" si="6"/>
        <v>10</v>
      </c>
      <c r="C16" s="67">
        <f t="shared" si="7"/>
        <v>12</v>
      </c>
      <c r="D16" s="67">
        <f t="shared" si="0"/>
        <v>2018</v>
      </c>
      <c r="E16" s="122">
        <f>EOMONTH(Настройки!$I$7,'План продаж'!B16)</f>
        <v>43465</v>
      </c>
      <c r="F16" s="67" t="str">
        <f>INDEX(Сезонность!$G$7:$G$18,MATCH(C16,Сезонность!$F$7:$F$18,0),1)</f>
        <v>Зима</v>
      </c>
      <c r="G16" s="134">
        <f>INDEX(Сезонность!$H$6:$H$18,MATCH(C16,Сезонность!$F$6:$F$18,0),1)</f>
        <v>1</v>
      </c>
      <c r="H16" s="67"/>
      <c r="I16" s="67"/>
      <c r="J16" s="67">
        <f t="shared" si="1"/>
        <v>1</v>
      </c>
      <c r="K16" s="229">
        <f>IFERROR(L16/'План продаж.Кол-во'!K17,0)</f>
        <v>40.309514486822721</v>
      </c>
      <c r="L16" s="129">
        <f t="shared" si="3"/>
        <v>3046000</v>
      </c>
      <c r="M16" s="67">
        <f>РазбивкаДохода!F12*$J16*$G16</f>
        <v>480000</v>
      </c>
      <c r="N16" s="67">
        <f>РазбивкаДохода!G12*$J16*$G16</f>
        <v>1110000</v>
      </c>
      <c r="O16" s="67">
        <f>РазбивкаДохода!H12*$J16*$G16</f>
        <v>616000</v>
      </c>
      <c r="P16" s="67">
        <f>РазбивкаДохода!I12*$J16*$G16</f>
        <v>840000</v>
      </c>
      <c r="Q16" s="129">
        <f t="shared" si="4"/>
        <v>1932433.333333333</v>
      </c>
      <c r="R16" s="67">
        <f>M16*РазбивкаДохода!J11</f>
        <v>359999.99999999994</v>
      </c>
      <c r="S16" s="67">
        <f>N16*РазбивкаДохода!J12</f>
        <v>832499.99999999988</v>
      </c>
      <c r="T16" s="67">
        <f>O16*РазбивкаДохода!$K11</f>
        <v>205333.33333333328</v>
      </c>
      <c r="U16" s="67">
        <f>P16*РазбивкаДохода!J11</f>
        <v>629999.99999999988</v>
      </c>
      <c r="V16" s="67">
        <f t="shared" si="5"/>
        <v>-95400</v>
      </c>
      <c r="W16" s="67">
        <f>'Скидки и клиентская база'!T17*Нстр.Скидка</f>
        <v>0</v>
      </c>
      <c r="X16" s="67">
        <f>'Скидки и клиентская база'!U17</f>
        <v>-25799.638554216868</v>
      </c>
    </row>
    <row r="17" spans="2:24" x14ac:dyDescent="0.25">
      <c r="B17" s="67">
        <f t="shared" si="6"/>
        <v>11</v>
      </c>
      <c r="C17" s="67">
        <f t="shared" si="7"/>
        <v>1</v>
      </c>
      <c r="D17" s="67">
        <f t="shared" si="0"/>
        <v>2019</v>
      </c>
      <c r="E17" s="122">
        <f>EOMONTH(Настройки!$I$7,'План продаж'!B17)</f>
        <v>43496</v>
      </c>
      <c r="F17" s="67" t="str">
        <f>INDEX(Сезонность!$G$7:$G$18,MATCH(C17,Сезонность!$F$7:$F$18,0),1)</f>
        <v>Зима</v>
      </c>
      <c r="G17" s="134">
        <f>INDEX(Сезонность!$H$6:$H$18,MATCH(C17,Сезонность!$F$6:$F$18,0),1)</f>
        <v>1</v>
      </c>
      <c r="H17" s="67"/>
      <c r="I17" s="67"/>
      <c r="J17" s="67">
        <f t="shared" si="1"/>
        <v>1</v>
      </c>
      <c r="K17" s="229">
        <f>IFERROR(L17/'План продаж.Кол-во'!K18,0)</f>
        <v>40.309514486822721</v>
      </c>
      <c r="L17" s="129">
        <f t="shared" si="3"/>
        <v>3046000</v>
      </c>
      <c r="M17" s="67">
        <f>РазбивкаДохода!F13*$J17*$G17</f>
        <v>480000</v>
      </c>
      <c r="N17" s="67">
        <f>РазбивкаДохода!G13*$J17*$G17</f>
        <v>1110000</v>
      </c>
      <c r="O17" s="67">
        <f>РазбивкаДохода!H13*$J17*$G17</f>
        <v>616000</v>
      </c>
      <c r="P17" s="67">
        <f>РазбивкаДохода!I13*$J17*$G17</f>
        <v>840000</v>
      </c>
      <c r="Q17" s="129">
        <f t="shared" si="4"/>
        <v>1932433.333333333</v>
      </c>
      <c r="R17" s="67">
        <f>M17*РазбивкаДохода!J12</f>
        <v>359999.99999999994</v>
      </c>
      <c r="S17" s="67">
        <f>N17*РазбивкаДохода!J13</f>
        <v>832499.99999999988</v>
      </c>
      <c r="T17" s="67">
        <f>O17*РазбивкаДохода!$K12</f>
        <v>205333.33333333328</v>
      </c>
      <c r="U17" s="67">
        <f>P17*РазбивкаДохода!J12</f>
        <v>629999.99999999988</v>
      </c>
      <c r="V17" s="67">
        <f t="shared" si="5"/>
        <v>-95400</v>
      </c>
      <c r="W17" s="67">
        <f>'Скидки и клиентская база'!T18*Нстр.Скидка</f>
        <v>0</v>
      </c>
      <c r="X17" s="67">
        <f>'Скидки и клиентская база'!U18</f>
        <v>-25799.638554216868</v>
      </c>
    </row>
    <row r="18" spans="2:24" x14ac:dyDescent="0.25">
      <c r="B18" s="67">
        <f t="shared" si="6"/>
        <v>12</v>
      </c>
      <c r="C18" s="67">
        <f t="shared" si="7"/>
        <v>2</v>
      </c>
      <c r="D18" s="67">
        <f t="shared" si="0"/>
        <v>2019</v>
      </c>
      <c r="E18" s="122">
        <f>EOMONTH(Настройки!$I$7,'План продаж'!B18)</f>
        <v>43524</v>
      </c>
      <c r="F18" s="67" t="str">
        <f>INDEX(Сезонность!$G$7:$G$18,MATCH(C18,Сезонность!$F$7:$F$18,0),1)</f>
        <v>Зима</v>
      </c>
      <c r="G18" s="134">
        <f>INDEX(Сезонность!$H$6:$H$18,MATCH(C18,Сезонность!$F$6:$F$18,0),1)</f>
        <v>1</v>
      </c>
      <c r="H18" s="67"/>
      <c r="I18" s="67"/>
      <c r="J18" s="67">
        <f t="shared" si="1"/>
        <v>1</v>
      </c>
      <c r="K18" s="229">
        <f>IFERROR(L18/'План продаж.Кол-во'!K19,0)</f>
        <v>40.309514486822721</v>
      </c>
      <c r="L18" s="129">
        <f t="shared" si="3"/>
        <v>3046000</v>
      </c>
      <c r="M18" s="67">
        <f>РазбивкаДохода!F14*$J18*$G18</f>
        <v>480000</v>
      </c>
      <c r="N18" s="67">
        <f>РазбивкаДохода!G14*$J18*$G18</f>
        <v>1110000</v>
      </c>
      <c r="O18" s="67">
        <f>РазбивкаДохода!H14*$J18*$G18</f>
        <v>616000</v>
      </c>
      <c r="P18" s="67">
        <f>РазбивкаДохода!I14*$J18*$G18</f>
        <v>840000</v>
      </c>
      <c r="Q18" s="129">
        <f t="shared" si="4"/>
        <v>1932433.333333333</v>
      </c>
      <c r="R18" s="67">
        <f>M18*РазбивкаДохода!J13</f>
        <v>359999.99999999994</v>
      </c>
      <c r="S18" s="67">
        <f>N18*РазбивкаДохода!J14</f>
        <v>832499.99999999988</v>
      </c>
      <c r="T18" s="67">
        <f>O18*РазбивкаДохода!$K13</f>
        <v>205333.33333333328</v>
      </c>
      <c r="U18" s="67">
        <f>P18*РазбивкаДохода!J13</f>
        <v>629999.99999999988</v>
      </c>
      <c r="V18" s="67">
        <f t="shared" si="5"/>
        <v>-95400</v>
      </c>
      <c r="W18" s="67">
        <f>'Скидки и клиентская база'!T19*Нстр.Скидка</f>
        <v>0</v>
      </c>
      <c r="X18" s="67">
        <f>'Скидки и клиентская база'!U19</f>
        <v>-25799.638554216868</v>
      </c>
    </row>
    <row r="19" spans="2:24" x14ac:dyDescent="0.25">
      <c r="B19" s="67">
        <f t="shared" si="6"/>
        <v>13</v>
      </c>
      <c r="C19" s="67">
        <f t="shared" si="7"/>
        <v>3</v>
      </c>
      <c r="D19" s="67">
        <f t="shared" si="0"/>
        <v>2019</v>
      </c>
      <c r="E19" s="122">
        <f>EOMONTH(Настройки!$I$7,'План продаж'!B19)</f>
        <v>43555</v>
      </c>
      <c r="F19" s="67" t="str">
        <f>INDEX(Сезонность!$G$7:$G$18,MATCH(C19,Сезонность!$F$7:$F$18,0),1)</f>
        <v>Весна</v>
      </c>
      <c r="G19" s="134">
        <f>INDEX(Сезонность!$H$6:$H$18,MATCH(C19,Сезонность!$F$6:$F$18,0),1)</f>
        <v>1</v>
      </c>
      <c r="H19" s="67"/>
      <c r="I19" s="67"/>
      <c r="J19" s="67">
        <f t="shared" si="1"/>
        <v>1</v>
      </c>
      <c r="K19" s="229">
        <f>IFERROR(L19/'План продаж.Кол-во'!K20,0)</f>
        <v>40.309514486822721</v>
      </c>
      <c r="L19" s="129">
        <f t="shared" si="3"/>
        <v>3046000</v>
      </c>
      <c r="M19" s="67">
        <f>РазбивкаДохода!F15*$J19*$G19</f>
        <v>480000</v>
      </c>
      <c r="N19" s="67">
        <f>РазбивкаДохода!G15*$J19*$G19</f>
        <v>1110000</v>
      </c>
      <c r="O19" s="67">
        <f>РазбивкаДохода!H15*$J19*$G19</f>
        <v>616000</v>
      </c>
      <c r="P19" s="67">
        <f>РазбивкаДохода!I15*$J19*$G19</f>
        <v>840000</v>
      </c>
      <c r="Q19" s="129">
        <f t="shared" si="4"/>
        <v>1932433.333333333</v>
      </c>
      <c r="R19" s="67">
        <f>M19*РазбивкаДохода!J14</f>
        <v>359999.99999999994</v>
      </c>
      <c r="S19" s="67">
        <f>N19*РазбивкаДохода!J15</f>
        <v>832499.99999999988</v>
      </c>
      <c r="T19" s="67">
        <f>O19*РазбивкаДохода!$K14</f>
        <v>205333.33333333328</v>
      </c>
      <c r="U19" s="67">
        <f>P19*РазбивкаДохода!J14</f>
        <v>629999.99999999988</v>
      </c>
      <c r="V19" s="67">
        <f t="shared" si="5"/>
        <v>-95400</v>
      </c>
      <c r="W19" s="67">
        <f>'Скидки и клиентская база'!T20*Нстр.Скидка</f>
        <v>0</v>
      </c>
      <c r="X19" s="67">
        <f>'Скидки и клиентская база'!U20</f>
        <v>-25799.638554216868</v>
      </c>
    </row>
    <row r="20" spans="2:24" x14ac:dyDescent="0.25">
      <c r="B20" s="67">
        <f t="shared" si="6"/>
        <v>14</v>
      </c>
      <c r="C20" s="67">
        <f t="shared" si="7"/>
        <v>4</v>
      </c>
      <c r="D20" s="67">
        <f t="shared" si="0"/>
        <v>2019</v>
      </c>
      <c r="E20" s="122">
        <f>EOMONTH(Настройки!$I$7,'План продаж'!B20)</f>
        <v>43585</v>
      </c>
      <c r="F20" s="67" t="str">
        <f>INDEX(Сезонность!$G$7:$G$18,MATCH(C20,Сезонность!$F$7:$F$18,0),1)</f>
        <v>Весна</v>
      </c>
      <c r="G20" s="134">
        <f>INDEX(Сезонность!$H$6:$H$18,MATCH(C20,Сезонность!$F$6:$F$18,0),1)</f>
        <v>1</v>
      </c>
      <c r="H20" s="67"/>
      <c r="I20" s="67"/>
      <c r="J20" s="67">
        <f t="shared" si="1"/>
        <v>1</v>
      </c>
      <c r="K20" s="229">
        <f>IFERROR(L20/'План продаж.Кол-во'!K21,0)</f>
        <v>40.309514486822721</v>
      </c>
      <c r="L20" s="129">
        <f t="shared" si="3"/>
        <v>3046000</v>
      </c>
      <c r="M20" s="67">
        <f>РазбивкаДохода!F16*$J20*$G20</f>
        <v>480000</v>
      </c>
      <c r="N20" s="67">
        <f>РазбивкаДохода!G16*$J20*$G20</f>
        <v>1110000</v>
      </c>
      <c r="O20" s="67">
        <f>РазбивкаДохода!H16*$J20*$G20</f>
        <v>616000</v>
      </c>
      <c r="P20" s="67">
        <f>РазбивкаДохода!I16*$J20*$G20</f>
        <v>840000</v>
      </c>
      <c r="Q20" s="129">
        <f t="shared" si="4"/>
        <v>1932433.333333333</v>
      </c>
      <c r="R20" s="67">
        <f>M20*РазбивкаДохода!J15</f>
        <v>359999.99999999994</v>
      </c>
      <c r="S20" s="67">
        <f>N20*РазбивкаДохода!J16</f>
        <v>832499.99999999988</v>
      </c>
      <c r="T20" s="67">
        <f>O20*РазбивкаДохода!$K15</f>
        <v>205333.33333333328</v>
      </c>
      <c r="U20" s="67">
        <f>P20*РазбивкаДохода!J15</f>
        <v>629999.99999999988</v>
      </c>
      <c r="V20" s="67">
        <f t="shared" si="5"/>
        <v>-95400</v>
      </c>
      <c r="W20" s="67">
        <f>'Скидки и клиентская база'!T21*Нстр.Скидка</f>
        <v>0</v>
      </c>
      <c r="X20" s="67">
        <f>'Скидки и клиентская база'!U21</f>
        <v>-25799.638554216868</v>
      </c>
    </row>
    <row r="21" spans="2:24" x14ac:dyDescent="0.25">
      <c r="B21" s="67">
        <f t="shared" si="6"/>
        <v>15</v>
      </c>
      <c r="C21" s="67">
        <f t="shared" si="7"/>
        <v>5</v>
      </c>
      <c r="D21" s="67">
        <f t="shared" si="0"/>
        <v>2019</v>
      </c>
      <c r="E21" s="122">
        <f>EOMONTH(Настройки!$I$7,'План продаж'!B21)</f>
        <v>43616</v>
      </c>
      <c r="F21" s="67" t="str">
        <f>INDEX(Сезонность!$G$7:$G$18,MATCH(C21,Сезонность!$F$7:$F$18,0),1)</f>
        <v>Весна</v>
      </c>
      <c r="G21" s="134">
        <f>INDEX(Сезонность!$H$6:$H$18,MATCH(C21,Сезонность!$F$6:$F$18,0),1)</f>
        <v>0.75</v>
      </c>
      <c r="H21" s="67"/>
      <c r="I21" s="67"/>
      <c r="J21" s="67">
        <f t="shared" si="1"/>
        <v>1</v>
      </c>
      <c r="K21" s="229">
        <f>IFERROR(L21/'План продаж.Кол-во'!K22,0)</f>
        <v>36.16705263157894</v>
      </c>
      <c r="L21" s="129">
        <f t="shared" si="3"/>
        <v>2805000</v>
      </c>
      <c r="M21" s="67">
        <f>РазбивкаДохода!F17*$J21*$G21</f>
        <v>360000</v>
      </c>
      <c r="N21" s="67">
        <f>РазбивкаДохода!G17*$J21*$G21</f>
        <v>832500</v>
      </c>
      <c r="O21" s="67">
        <f>РазбивкаДохода!H17*$J21*$G21</f>
        <v>825000</v>
      </c>
      <c r="P21" s="67">
        <f>РазбивкаДохода!I17*$J21*$G21</f>
        <v>787500</v>
      </c>
      <c r="Q21" s="129">
        <f t="shared" si="4"/>
        <v>1688449.9999999995</v>
      </c>
      <c r="R21" s="67">
        <f>M21*РазбивкаДохода!J16</f>
        <v>269999.99999999994</v>
      </c>
      <c r="S21" s="67">
        <f>N21*РазбивкаДохода!J17</f>
        <v>624374.99999999988</v>
      </c>
      <c r="T21" s="67">
        <f>O21*РазбивкаДохода!$K16</f>
        <v>274999.99999999994</v>
      </c>
      <c r="U21" s="67">
        <f>P21*РазбивкаДохода!J16</f>
        <v>590624.99999999988</v>
      </c>
      <c r="V21" s="67">
        <f t="shared" si="5"/>
        <v>-71550</v>
      </c>
      <c r="W21" s="67">
        <f>'Скидки и клиентская база'!T22*Нстр.Скидка</f>
        <v>0</v>
      </c>
      <c r="X21" s="67">
        <f>'Скидки и клиентская база'!U22</f>
        <v>-25799.638554216868</v>
      </c>
    </row>
    <row r="22" spans="2:24" x14ac:dyDescent="0.25">
      <c r="B22" s="67">
        <f t="shared" si="6"/>
        <v>16</v>
      </c>
      <c r="C22" s="67">
        <f t="shared" si="7"/>
        <v>6</v>
      </c>
      <c r="D22" s="67">
        <f t="shared" si="0"/>
        <v>2019</v>
      </c>
      <c r="E22" s="122">
        <f>EOMONTH(Настройки!$I$7,'План продаж'!B22)</f>
        <v>43646</v>
      </c>
      <c r="F22" s="67" t="str">
        <f>INDEX(Сезонность!$G$7:$G$18,MATCH(C22,Сезонность!$F$7:$F$18,0),1)</f>
        <v>Лето</v>
      </c>
      <c r="G22" s="134">
        <f>INDEX(Сезонность!$H$6:$H$18,MATCH(C22,Сезонность!$F$6:$F$18,0),1)</f>
        <v>0.75</v>
      </c>
      <c r="H22" s="67"/>
      <c r="I22" s="67"/>
      <c r="J22" s="67">
        <f t="shared" si="1"/>
        <v>1</v>
      </c>
      <c r="K22" s="229">
        <f>IFERROR(L22/'План продаж.Кол-во'!K23,0)</f>
        <v>36.16705263157894</v>
      </c>
      <c r="L22" s="129">
        <f t="shared" si="3"/>
        <v>2805000</v>
      </c>
      <c r="M22" s="67">
        <f>РазбивкаДохода!F18*$J22*$G22</f>
        <v>360000</v>
      </c>
      <c r="N22" s="67">
        <f>РазбивкаДохода!G18*$J22*$G22</f>
        <v>832500</v>
      </c>
      <c r="O22" s="67">
        <f>РазбивкаДохода!H18*$J22*$G22</f>
        <v>825000</v>
      </c>
      <c r="P22" s="67">
        <f>РазбивкаДохода!I18*$J22*$G22</f>
        <v>787500</v>
      </c>
      <c r="Q22" s="129">
        <f t="shared" si="4"/>
        <v>1688449.9999999995</v>
      </c>
      <c r="R22" s="67">
        <f>M22*РазбивкаДохода!J17</f>
        <v>269999.99999999994</v>
      </c>
      <c r="S22" s="67">
        <f>N22*РазбивкаДохода!J18</f>
        <v>624374.99999999988</v>
      </c>
      <c r="T22" s="67">
        <f>O22*РазбивкаДохода!$K17</f>
        <v>274999.99999999994</v>
      </c>
      <c r="U22" s="67">
        <f>P22*РазбивкаДохода!J17</f>
        <v>590624.99999999988</v>
      </c>
      <c r="V22" s="67">
        <f t="shared" si="5"/>
        <v>-71550</v>
      </c>
      <c r="W22" s="67">
        <f>'Скидки и клиентская база'!T23*Нстр.Скидка</f>
        <v>0</v>
      </c>
      <c r="X22" s="67">
        <f>'Скидки и клиентская база'!U23</f>
        <v>-25799.638554216868</v>
      </c>
    </row>
    <row r="23" spans="2:24" x14ac:dyDescent="0.25">
      <c r="B23" s="67">
        <f t="shared" si="6"/>
        <v>17</v>
      </c>
      <c r="C23" s="67">
        <f t="shared" si="7"/>
        <v>7</v>
      </c>
      <c r="D23" s="67">
        <f t="shared" si="0"/>
        <v>2019</v>
      </c>
      <c r="E23" s="122">
        <f>EOMONTH(Настройки!$I$7,'План продаж'!B23)</f>
        <v>43677</v>
      </c>
      <c r="F23" s="67" t="str">
        <f>INDEX(Сезонность!$G$7:$G$18,MATCH(C23,Сезонность!$F$7:$F$18,0),1)</f>
        <v>Лето</v>
      </c>
      <c r="G23" s="134">
        <f>INDEX(Сезонность!$H$6:$H$18,MATCH(C23,Сезонность!$F$6:$F$18,0),1)</f>
        <v>0.75</v>
      </c>
      <c r="H23" s="67"/>
      <c r="I23" s="67"/>
      <c r="J23" s="67">
        <f t="shared" si="1"/>
        <v>1</v>
      </c>
      <c r="K23" s="229">
        <f>IFERROR(L23/'План продаж.Кол-во'!K24,0)</f>
        <v>36.16705263157894</v>
      </c>
      <c r="L23" s="129">
        <f t="shared" si="3"/>
        <v>2805000</v>
      </c>
      <c r="M23" s="67">
        <f>РазбивкаДохода!F19*$J23*$G23</f>
        <v>360000</v>
      </c>
      <c r="N23" s="67">
        <f>РазбивкаДохода!G19*$J23*$G23</f>
        <v>832500</v>
      </c>
      <c r="O23" s="67">
        <f>РазбивкаДохода!H19*$J23*$G23</f>
        <v>825000</v>
      </c>
      <c r="P23" s="67">
        <f>РазбивкаДохода!I19*$J23*$G23</f>
        <v>787500</v>
      </c>
      <c r="Q23" s="129">
        <f t="shared" si="4"/>
        <v>1688449.9999999995</v>
      </c>
      <c r="R23" s="67">
        <f>M23*РазбивкаДохода!J18</f>
        <v>269999.99999999994</v>
      </c>
      <c r="S23" s="67">
        <f>N23*РазбивкаДохода!J19</f>
        <v>624374.99999999988</v>
      </c>
      <c r="T23" s="67">
        <f>O23*РазбивкаДохода!$K18</f>
        <v>274999.99999999994</v>
      </c>
      <c r="U23" s="67">
        <f>P23*РазбивкаДохода!J18</f>
        <v>590624.99999999988</v>
      </c>
      <c r="V23" s="67">
        <f t="shared" si="5"/>
        <v>-71550</v>
      </c>
      <c r="W23" s="67">
        <f>'Скидки и клиентская база'!T24*Нстр.Скидка</f>
        <v>0</v>
      </c>
      <c r="X23" s="67">
        <f>'Скидки и клиентская база'!U24</f>
        <v>-25799.638554216868</v>
      </c>
    </row>
    <row r="24" spans="2:24" x14ac:dyDescent="0.25">
      <c r="B24" s="67">
        <f t="shared" si="6"/>
        <v>18</v>
      </c>
      <c r="C24" s="67">
        <f t="shared" si="7"/>
        <v>8</v>
      </c>
      <c r="D24" s="67">
        <f t="shared" si="0"/>
        <v>2019</v>
      </c>
      <c r="E24" s="122">
        <f>EOMONTH(Настройки!$I$7,'План продаж'!B24)</f>
        <v>43708</v>
      </c>
      <c r="F24" s="67" t="str">
        <f>INDEX(Сезонность!$G$7:$G$18,MATCH(C24,Сезонность!$F$7:$F$18,0),1)</f>
        <v>Лето</v>
      </c>
      <c r="G24" s="134">
        <f>INDEX(Сезонность!$H$6:$H$18,MATCH(C24,Сезонность!$F$6:$F$18,0),1)</f>
        <v>0.75</v>
      </c>
      <c r="H24" s="67"/>
      <c r="I24" s="67"/>
      <c r="J24" s="67">
        <f t="shared" si="1"/>
        <v>1</v>
      </c>
      <c r="K24" s="229">
        <f>IFERROR(L24/'План продаж.Кол-во'!K25,0)</f>
        <v>36.16705263157894</v>
      </c>
      <c r="L24" s="129">
        <f t="shared" si="3"/>
        <v>2805000</v>
      </c>
      <c r="M24" s="67">
        <f>РазбивкаДохода!F20*$J24*$G24</f>
        <v>360000</v>
      </c>
      <c r="N24" s="67">
        <f>РазбивкаДохода!G20*$J24*$G24</f>
        <v>832500</v>
      </c>
      <c r="O24" s="67">
        <f>РазбивкаДохода!H20*$J24*$G24</f>
        <v>825000</v>
      </c>
      <c r="P24" s="67">
        <f>РазбивкаДохода!I20*$J24*$G24</f>
        <v>787500</v>
      </c>
      <c r="Q24" s="129">
        <f t="shared" si="4"/>
        <v>1688449.9999999995</v>
      </c>
      <c r="R24" s="67">
        <f>M24*РазбивкаДохода!J19</f>
        <v>269999.99999999994</v>
      </c>
      <c r="S24" s="67">
        <f>N24*РазбивкаДохода!J20</f>
        <v>624374.99999999988</v>
      </c>
      <c r="T24" s="67">
        <f>O24*РазбивкаДохода!$K19</f>
        <v>274999.99999999994</v>
      </c>
      <c r="U24" s="67">
        <f>P24*РазбивкаДохода!J19</f>
        <v>590624.99999999988</v>
      </c>
      <c r="V24" s="67">
        <f t="shared" si="5"/>
        <v>-71550</v>
      </c>
      <c r="W24" s="67">
        <f>'Скидки и клиентская база'!T25*Нстр.Скидка</f>
        <v>0</v>
      </c>
      <c r="X24" s="67">
        <f>'Скидки и клиентская база'!U25</f>
        <v>-25799.638554216868</v>
      </c>
    </row>
    <row r="25" spans="2:24" x14ac:dyDescent="0.25">
      <c r="B25" s="67">
        <f t="shared" si="6"/>
        <v>19</v>
      </c>
      <c r="C25" s="67">
        <f t="shared" si="7"/>
        <v>9</v>
      </c>
      <c r="D25" s="67">
        <f t="shared" si="0"/>
        <v>2019</v>
      </c>
      <c r="E25" s="122">
        <f>EOMONTH(Настройки!$I$7,'План продаж'!B25)</f>
        <v>43738</v>
      </c>
      <c r="F25" s="67" t="str">
        <f>INDEX(Сезонность!$G$7:$G$18,MATCH(C25,Сезонность!$F$7:$F$18,0),1)</f>
        <v>Осень</v>
      </c>
      <c r="G25" s="134">
        <f>INDEX(Сезонность!$H$6:$H$18,MATCH(C25,Сезонность!$F$6:$F$18,0),1)</f>
        <v>0.75</v>
      </c>
      <c r="H25" s="67"/>
      <c r="I25" s="67"/>
      <c r="J25" s="67">
        <f t="shared" si="1"/>
        <v>1</v>
      </c>
      <c r="K25" s="229">
        <f>IFERROR(L25/'План продаж.Кол-во'!K26,0)</f>
        <v>36.16705263157894</v>
      </c>
      <c r="L25" s="129">
        <f t="shared" si="3"/>
        <v>2805000</v>
      </c>
      <c r="M25" s="67">
        <f>РазбивкаДохода!F21*$J25*$G25</f>
        <v>360000</v>
      </c>
      <c r="N25" s="67">
        <f>РазбивкаДохода!G21*$J25*$G25</f>
        <v>832500</v>
      </c>
      <c r="O25" s="67">
        <f>РазбивкаДохода!H21*$J25*$G25</f>
        <v>825000</v>
      </c>
      <c r="P25" s="67">
        <f>РазбивкаДохода!I21*$J25*$G25</f>
        <v>787500</v>
      </c>
      <c r="Q25" s="129">
        <f t="shared" si="4"/>
        <v>1688449.9999999995</v>
      </c>
      <c r="R25" s="67">
        <f>M25*РазбивкаДохода!J20</f>
        <v>269999.99999999994</v>
      </c>
      <c r="S25" s="67">
        <f>N25*РазбивкаДохода!J21</f>
        <v>624374.99999999988</v>
      </c>
      <c r="T25" s="67">
        <f>O25*РазбивкаДохода!$K20</f>
        <v>274999.99999999994</v>
      </c>
      <c r="U25" s="67">
        <f>P25*РазбивкаДохода!J20</f>
        <v>590624.99999999988</v>
      </c>
      <c r="V25" s="67">
        <f t="shared" si="5"/>
        <v>-71550</v>
      </c>
      <c r="W25" s="67">
        <f>'Скидки и клиентская база'!T26*Нстр.Скидка</f>
        <v>0</v>
      </c>
      <c r="X25" s="67">
        <f>'Скидки и клиентская база'!U26</f>
        <v>-25799.638554216868</v>
      </c>
    </row>
    <row r="26" spans="2:24" x14ac:dyDescent="0.25">
      <c r="B26" s="67">
        <f t="shared" si="6"/>
        <v>20</v>
      </c>
      <c r="C26" s="67">
        <f t="shared" si="7"/>
        <v>10</v>
      </c>
      <c r="D26" s="67">
        <f t="shared" si="0"/>
        <v>2019</v>
      </c>
      <c r="E26" s="122">
        <f>EOMONTH(Настройки!$I$7,'План продаж'!B26)</f>
        <v>43769</v>
      </c>
      <c r="F26" s="67" t="str">
        <f>INDEX(Сезонность!$G$7:$G$18,MATCH(C26,Сезонность!$F$7:$F$18,0),1)</f>
        <v>Осень</v>
      </c>
      <c r="G26" s="134">
        <f>INDEX(Сезонность!$H$6:$H$18,MATCH(C26,Сезонность!$F$6:$F$18,0),1)</f>
        <v>1</v>
      </c>
      <c r="H26" s="67"/>
      <c r="I26" s="67"/>
      <c r="J26" s="67">
        <f t="shared" si="1"/>
        <v>1</v>
      </c>
      <c r="K26" s="229">
        <f>IFERROR(L26/'План продаж.Кол-во'!K27,0)</f>
        <v>36.167052631578947</v>
      </c>
      <c r="L26" s="129">
        <f t="shared" si="3"/>
        <v>3740000</v>
      </c>
      <c r="M26" s="67">
        <f>РазбивкаДохода!F22*$J26*$G26</f>
        <v>480000</v>
      </c>
      <c r="N26" s="67">
        <f>РазбивкаДохода!G22*$J26*$G26</f>
        <v>1110000</v>
      </c>
      <c r="O26" s="67">
        <f>РазбивкаДохода!H22*$J26*$G26</f>
        <v>1100000</v>
      </c>
      <c r="P26" s="67">
        <f>РазбивкаДохода!I22*$J26*$G26</f>
        <v>1050000</v>
      </c>
      <c r="Q26" s="129">
        <f t="shared" si="4"/>
        <v>2251266.666666666</v>
      </c>
      <c r="R26" s="67">
        <f>M26*РазбивкаДохода!J21</f>
        <v>359999.99999999994</v>
      </c>
      <c r="S26" s="67">
        <f>N26*РазбивкаДохода!J22</f>
        <v>832499.99999999988</v>
      </c>
      <c r="T26" s="67">
        <f>O26*РазбивкаДохода!$K21</f>
        <v>366666.66666666657</v>
      </c>
      <c r="U26" s="67">
        <f>P26*РазбивкаДохода!J21</f>
        <v>787499.99999999988</v>
      </c>
      <c r="V26" s="67">
        <f t="shared" si="5"/>
        <v>-95400</v>
      </c>
      <c r="W26" s="67">
        <f>'Скидки и клиентская база'!T27*Нстр.Скидка</f>
        <v>0</v>
      </c>
      <c r="X26" s="67">
        <f>'Скидки и клиентская база'!U27</f>
        <v>-25799.638554216868</v>
      </c>
    </row>
    <row r="27" spans="2:24" x14ac:dyDescent="0.25">
      <c r="B27" s="67">
        <f t="shared" si="6"/>
        <v>21</v>
      </c>
      <c r="C27" s="67">
        <f t="shared" si="7"/>
        <v>11</v>
      </c>
      <c r="D27" s="67">
        <f t="shared" si="0"/>
        <v>2019</v>
      </c>
      <c r="E27" s="122">
        <f>EOMONTH(Настройки!$I$7,'План продаж'!B27)</f>
        <v>43799</v>
      </c>
      <c r="F27" s="67" t="str">
        <f>INDEX(Сезонность!$G$7:$G$18,MATCH(C27,Сезонность!$F$7:$F$18,0),1)</f>
        <v>Осень</v>
      </c>
      <c r="G27" s="134">
        <f>INDEX(Сезонность!$H$6:$H$18,MATCH(C27,Сезонность!$F$6:$F$18,0),1)</f>
        <v>1</v>
      </c>
      <c r="H27" s="67"/>
      <c r="I27" s="67"/>
      <c r="J27" s="67">
        <f t="shared" si="1"/>
        <v>1</v>
      </c>
      <c r="K27" s="229">
        <f>IFERROR(L27/'План продаж.Кол-во'!K28,0)</f>
        <v>36.167052631578947</v>
      </c>
      <c r="L27" s="129">
        <f t="shared" si="3"/>
        <v>3740000</v>
      </c>
      <c r="M27" s="67">
        <f>РазбивкаДохода!F23*$J27*$G27</f>
        <v>480000</v>
      </c>
      <c r="N27" s="67">
        <f>РазбивкаДохода!G23*$J27*$G27</f>
        <v>1110000</v>
      </c>
      <c r="O27" s="67">
        <f>РазбивкаДохода!H23*$J27*$G27</f>
        <v>1100000</v>
      </c>
      <c r="P27" s="67">
        <f>РазбивкаДохода!I23*$J27*$G27</f>
        <v>1050000</v>
      </c>
      <c r="Q27" s="129">
        <f t="shared" si="4"/>
        <v>2251266.666666666</v>
      </c>
      <c r="R27" s="67">
        <f>M27*РазбивкаДохода!J22</f>
        <v>359999.99999999994</v>
      </c>
      <c r="S27" s="67">
        <f>N27*РазбивкаДохода!J23</f>
        <v>832499.99999999988</v>
      </c>
      <c r="T27" s="67">
        <f>O27*РазбивкаДохода!$K22</f>
        <v>366666.66666666657</v>
      </c>
      <c r="U27" s="67">
        <f>P27*РазбивкаДохода!J22</f>
        <v>787499.99999999988</v>
      </c>
      <c r="V27" s="67">
        <f t="shared" si="5"/>
        <v>-95400</v>
      </c>
      <c r="W27" s="67">
        <f>'Скидки и клиентская база'!T28*Нстр.Скидка</f>
        <v>0</v>
      </c>
      <c r="X27" s="67">
        <f>'Скидки и клиентская база'!U28</f>
        <v>-25799.638554216868</v>
      </c>
    </row>
    <row r="28" spans="2:24" x14ac:dyDescent="0.25">
      <c r="B28" s="67">
        <f t="shared" si="6"/>
        <v>22</v>
      </c>
      <c r="C28" s="67">
        <f t="shared" si="7"/>
        <v>12</v>
      </c>
      <c r="D28" s="67">
        <f t="shared" si="0"/>
        <v>2019</v>
      </c>
      <c r="E28" s="122">
        <f>EOMONTH(Настройки!$I$7,'План продаж'!B28)</f>
        <v>43830</v>
      </c>
      <c r="F28" s="67" t="str">
        <f>INDEX(Сезонность!$G$7:$G$18,MATCH(C28,Сезонность!$F$7:$F$18,0),1)</f>
        <v>Зима</v>
      </c>
      <c r="G28" s="134">
        <f>INDEX(Сезонность!$H$6:$H$18,MATCH(C28,Сезонность!$F$6:$F$18,0),1)</f>
        <v>1</v>
      </c>
      <c r="H28" s="67"/>
      <c r="I28" s="67"/>
      <c r="J28" s="67">
        <f t="shared" si="1"/>
        <v>1</v>
      </c>
      <c r="K28" s="229">
        <f>IFERROR(L28/'План продаж.Кол-во'!K29,0)</f>
        <v>36.167052631578947</v>
      </c>
      <c r="L28" s="129">
        <f t="shared" si="3"/>
        <v>3740000</v>
      </c>
      <c r="M28" s="67">
        <f>РазбивкаДохода!F24*$J28*$G28</f>
        <v>480000</v>
      </c>
      <c r="N28" s="67">
        <f>РазбивкаДохода!G24*$J28*$G28</f>
        <v>1110000</v>
      </c>
      <c r="O28" s="67">
        <f>РазбивкаДохода!H24*$J28*$G28</f>
        <v>1100000</v>
      </c>
      <c r="P28" s="67">
        <f>РазбивкаДохода!I24*$J28*$G28</f>
        <v>1050000</v>
      </c>
      <c r="Q28" s="129">
        <f t="shared" si="4"/>
        <v>2251266.666666666</v>
      </c>
      <c r="R28" s="67">
        <f>M28*РазбивкаДохода!J23</f>
        <v>359999.99999999994</v>
      </c>
      <c r="S28" s="67">
        <f>N28*РазбивкаДохода!J24</f>
        <v>832499.99999999988</v>
      </c>
      <c r="T28" s="67">
        <f>O28*РазбивкаДохода!$K23</f>
        <v>366666.66666666657</v>
      </c>
      <c r="U28" s="67">
        <f>P28*РазбивкаДохода!J23</f>
        <v>787499.99999999988</v>
      </c>
      <c r="V28" s="67">
        <f t="shared" si="5"/>
        <v>-95400</v>
      </c>
      <c r="W28" s="67">
        <f>'Скидки и клиентская база'!T29*Нстр.Скидка</f>
        <v>0</v>
      </c>
      <c r="X28" s="67">
        <f>'Скидки и клиентская база'!U29</f>
        <v>-25799.638554216868</v>
      </c>
    </row>
    <row r="29" spans="2:24" x14ac:dyDescent="0.25">
      <c r="B29" s="67">
        <f t="shared" si="6"/>
        <v>23</v>
      </c>
      <c r="C29" s="67">
        <f t="shared" si="7"/>
        <v>1</v>
      </c>
      <c r="D29" s="67">
        <f t="shared" si="0"/>
        <v>2020</v>
      </c>
      <c r="E29" s="122">
        <f>EOMONTH(Настройки!$I$7,'План продаж'!B29)</f>
        <v>43861</v>
      </c>
      <c r="F29" s="67" t="str">
        <f>INDEX(Сезонность!$G$7:$G$18,MATCH(C29,Сезонность!$F$7:$F$18,0),1)</f>
        <v>Зима</v>
      </c>
      <c r="G29" s="134">
        <f>INDEX(Сезонность!$H$6:$H$18,MATCH(C29,Сезонность!$F$6:$F$18,0),1)</f>
        <v>1</v>
      </c>
      <c r="H29" s="67"/>
      <c r="I29" s="67"/>
      <c r="J29" s="67">
        <f t="shared" si="1"/>
        <v>1</v>
      </c>
      <c r="K29" s="229">
        <f>IFERROR(L29/'План продаж.Кол-во'!K30,0)</f>
        <v>36.167052631578947</v>
      </c>
      <c r="L29" s="129">
        <f t="shared" si="3"/>
        <v>3740000</v>
      </c>
      <c r="M29" s="67">
        <f>РазбивкаДохода!F25*$J29*$G29</f>
        <v>480000</v>
      </c>
      <c r="N29" s="67">
        <f>РазбивкаДохода!G25*$J29*$G29</f>
        <v>1110000</v>
      </c>
      <c r="O29" s="67">
        <f>РазбивкаДохода!H25*$J29*$G29</f>
        <v>1100000</v>
      </c>
      <c r="P29" s="67">
        <f>РазбивкаДохода!I25*$J29*$G29</f>
        <v>1050000</v>
      </c>
      <c r="Q29" s="129">
        <f t="shared" si="4"/>
        <v>2251266.666666666</v>
      </c>
      <c r="R29" s="67">
        <f>M29*РазбивкаДохода!J24</f>
        <v>359999.99999999994</v>
      </c>
      <c r="S29" s="67">
        <f>N29*РазбивкаДохода!J25</f>
        <v>832499.99999999988</v>
      </c>
      <c r="T29" s="67">
        <f>O29*РазбивкаДохода!$K24</f>
        <v>366666.66666666657</v>
      </c>
      <c r="U29" s="67">
        <f>P29*РазбивкаДохода!J24</f>
        <v>787499.99999999988</v>
      </c>
      <c r="V29" s="67">
        <f t="shared" si="5"/>
        <v>-95400</v>
      </c>
      <c r="W29" s="67">
        <f>'Скидки и клиентская база'!T30*Нстр.Скидка</f>
        <v>0</v>
      </c>
      <c r="X29" s="67">
        <f>'Скидки и клиентская база'!U30</f>
        <v>-25799.638554216868</v>
      </c>
    </row>
    <row r="30" spans="2:24" x14ac:dyDescent="0.25">
      <c r="B30" s="67">
        <f t="shared" si="6"/>
        <v>24</v>
      </c>
      <c r="C30" s="67">
        <f t="shared" si="7"/>
        <v>2</v>
      </c>
      <c r="D30" s="67">
        <f t="shared" si="0"/>
        <v>2020</v>
      </c>
      <c r="E30" s="122">
        <f>EOMONTH(Настройки!$I$7,'План продаж'!B30)</f>
        <v>43890</v>
      </c>
      <c r="F30" s="67" t="str">
        <f>INDEX(Сезонность!$G$7:$G$18,MATCH(C30,Сезонность!$F$7:$F$18,0),1)</f>
        <v>Зима</v>
      </c>
      <c r="G30" s="134">
        <f>INDEX(Сезонность!$H$6:$H$18,MATCH(C30,Сезонность!$F$6:$F$18,0),1)</f>
        <v>1</v>
      </c>
      <c r="H30" s="67"/>
      <c r="I30" s="67"/>
      <c r="J30" s="67">
        <f t="shared" si="1"/>
        <v>1</v>
      </c>
      <c r="K30" s="229">
        <f>IFERROR(L30/'План продаж.Кол-во'!K31,0)</f>
        <v>36.167052631578947</v>
      </c>
      <c r="L30" s="129">
        <f t="shared" si="3"/>
        <v>3740000</v>
      </c>
      <c r="M30" s="67">
        <f>РазбивкаДохода!F26*$J30*$G30</f>
        <v>480000</v>
      </c>
      <c r="N30" s="67">
        <f>РазбивкаДохода!G26*$J30*$G30</f>
        <v>1110000</v>
      </c>
      <c r="O30" s="67">
        <f>РазбивкаДохода!H26*$J30*$G30</f>
        <v>1100000</v>
      </c>
      <c r="P30" s="67">
        <f>РазбивкаДохода!I26*$J30*$G30</f>
        <v>1050000</v>
      </c>
      <c r="Q30" s="129">
        <f t="shared" si="4"/>
        <v>2251266.666666666</v>
      </c>
      <c r="R30" s="67">
        <f>M30*РазбивкаДохода!J25</f>
        <v>359999.99999999994</v>
      </c>
      <c r="S30" s="67">
        <f>N30*РазбивкаДохода!J26</f>
        <v>832499.99999999988</v>
      </c>
      <c r="T30" s="67">
        <f>O30*РазбивкаДохода!$K25</f>
        <v>366666.66666666657</v>
      </c>
      <c r="U30" s="67">
        <f>P30*РазбивкаДохода!J25</f>
        <v>787499.99999999988</v>
      </c>
      <c r="V30" s="67">
        <f t="shared" si="5"/>
        <v>-95400</v>
      </c>
      <c r="W30" s="67">
        <f>'Скидки и клиентская база'!T31*Нстр.Скидка</f>
        <v>0</v>
      </c>
      <c r="X30" s="67">
        <f>'Скидки и клиентская база'!U31</f>
        <v>-25799.638554216868</v>
      </c>
    </row>
    <row r="31" spans="2:24" x14ac:dyDescent="0.25">
      <c r="B31" s="67">
        <f t="shared" si="6"/>
        <v>25</v>
      </c>
      <c r="C31" s="67">
        <f t="shared" si="7"/>
        <v>3</v>
      </c>
      <c r="D31" s="67">
        <f t="shared" si="0"/>
        <v>2020</v>
      </c>
      <c r="E31" s="122">
        <f>EOMONTH(Настройки!$I$7,'План продаж'!B31)</f>
        <v>43921</v>
      </c>
      <c r="F31" s="67" t="str">
        <f>INDEX(Сезонность!$G$7:$G$18,MATCH(C31,Сезонность!$F$7:$F$18,0),1)</f>
        <v>Весна</v>
      </c>
      <c r="G31" s="134">
        <f>INDEX(Сезонность!$H$6:$H$18,MATCH(C31,Сезонность!$F$6:$F$18,0),1)</f>
        <v>1</v>
      </c>
      <c r="H31" s="67"/>
      <c r="I31" s="67"/>
      <c r="J31" s="67">
        <f t="shared" si="1"/>
        <v>1</v>
      </c>
      <c r="K31" s="229">
        <f>IFERROR(L31/'План продаж.Кол-во'!K32,0)</f>
        <v>36.167052631578947</v>
      </c>
      <c r="L31" s="129">
        <f t="shared" si="3"/>
        <v>3740000</v>
      </c>
      <c r="M31" s="67">
        <f>РазбивкаДохода!F27*$J31*$G31</f>
        <v>480000</v>
      </c>
      <c r="N31" s="67">
        <f>РазбивкаДохода!G27*$J31*$G31</f>
        <v>1110000</v>
      </c>
      <c r="O31" s="67">
        <f>РазбивкаДохода!H27*$J31*$G31</f>
        <v>1100000</v>
      </c>
      <c r="P31" s="67">
        <f>РазбивкаДохода!I27*$J31*$G31</f>
        <v>1050000</v>
      </c>
      <c r="Q31" s="129">
        <f t="shared" si="4"/>
        <v>2251266.666666666</v>
      </c>
      <c r="R31" s="67">
        <f>M31*РазбивкаДохода!J26</f>
        <v>359999.99999999994</v>
      </c>
      <c r="S31" s="67">
        <f>N31*РазбивкаДохода!J27</f>
        <v>832499.99999999988</v>
      </c>
      <c r="T31" s="67">
        <f>O31*РазбивкаДохода!$K26</f>
        <v>366666.66666666657</v>
      </c>
      <c r="U31" s="67">
        <f>P31*РазбивкаДохода!J26</f>
        <v>787499.99999999988</v>
      </c>
      <c r="V31" s="67">
        <f t="shared" si="5"/>
        <v>-95400</v>
      </c>
      <c r="W31" s="67">
        <f>'Скидки и клиентская база'!T32*Нстр.Скидка</f>
        <v>0</v>
      </c>
      <c r="X31" s="67">
        <f>'Скидки и клиентская база'!U32</f>
        <v>-25799.638554216868</v>
      </c>
    </row>
    <row r="32" spans="2:24" x14ac:dyDescent="0.25">
      <c r="B32" s="67">
        <f t="shared" si="6"/>
        <v>26</v>
      </c>
      <c r="C32" s="67">
        <f t="shared" si="7"/>
        <v>4</v>
      </c>
      <c r="D32" s="67">
        <f t="shared" si="0"/>
        <v>2020</v>
      </c>
      <c r="E32" s="122">
        <f>EOMONTH(Настройки!$I$7,'План продаж'!B32)</f>
        <v>43951</v>
      </c>
      <c r="F32" s="67" t="str">
        <f>INDEX(Сезонность!$G$7:$G$18,MATCH(C32,Сезонность!$F$7:$F$18,0),1)</f>
        <v>Весна</v>
      </c>
      <c r="G32" s="134">
        <f>INDEX(Сезонность!$H$6:$H$18,MATCH(C32,Сезонность!$F$6:$F$18,0),1)</f>
        <v>1</v>
      </c>
      <c r="H32" s="67"/>
      <c r="I32" s="67"/>
      <c r="J32" s="67">
        <f t="shared" si="1"/>
        <v>1</v>
      </c>
      <c r="K32" s="229">
        <f>IFERROR(L32/'План продаж.Кол-во'!K33,0)</f>
        <v>36.167052631578947</v>
      </c>
      <c r="L32" s="129">
        <f t="shared" si="3"/>
        <v>3740000</v>
      </c>
      <c r="M32" s="67">
        <f>РазбивкаДохода!F28*$J32*$G32</f>
        <v>480000</v>
      </c>
      <c r="N32" s="67">
        <f>РазбивкаДохода!G28*$J32*$G32</f>
        <v>1110000</v>
      </c>
      <c r="O32" s="67">
        <f>РазбивкаДохода!H28*$J32*$G32</f>
        <v>1100000</v>
      </c>
      <c r="P32" s="67">
        <f>РазбивкаДохода!I28*$J32*$G32</f>
        <v>1050000</v>
      </c>
      <c r="Q32" s="129">
        <f t="shared" si="4"/>
        <v>2251266.666666666</v>
      </c>
      <c r="R32" s="67">
        <f>M32*РазбивкаДохода!J27</f>
        <v>359999.99999999994</v>
      </c>
      <c r="S32" s="67">
        <f>N32*РазбивкаДохода!J28</f>
        <v>832499.99999999988</v>
      </c>
      <c r="T32" s="67">
        <f>O32*РазбивкаДохода!$K27</f>
        <v>366666.66666666657</v>
      </c>
      <c r="U32" s="67">
        <f>P32*РазбивкаДохода!J27</f>
        <v>787499.99999999988</v>
      </c>
      <c r="V32" s="67">
        <f t="shared" si="5"/>
        <v>-95400</v>
      </c>
      <c r="W32" s="67">
        <f>'Скидки и клиентская база'!T33*Нстр.Скидка</f>
        <v>0</v>
      </c>
      <c r="X32" s="67">
        <f>'Скидки и клиентская база'!U33</f>
        <v>-25799.638554216868</v>
      </c>
    </row>
    <row r="33" spans="2:24" x14ac:dyDescent="0.25">
      <c r="B33" s="67">
        <f t="shared" si="6"/>
        <v>27</v>
      </c>
      <c r="C33" s="67">
        <f t="shared" si="7"/>
        <v>5</v>
      </c>
      <c r="D33" s="67">
        <f t="shared" si="0"/>
        <v>2020</v>
      </c>
      <c r="E33" s="122">
        <f>EOMONTH(Настройки!$I$7,'План продаж'!B33)</f>
        <v>43982</v>
      </c>
      <c r="F33" s="67" t="str">
        <f>INDEX(Сезонность!$G$7:$G$18,MATCH(C33,Сезонность!$F$7:$F$18,0),1)</f>
        <v>Весна</v>
      </c>
      <c r="G33" s="134">
        <f>INDEX(Сезонность!$H$6:$H$18,MATCH(C33,Сезонность!$F$6:$F$18,0),1)</f>
        <v>0.75</v>
      </c>
      <c r="H33" s="67"/>
      <c r="I33" s="67"/>
      <c r="J33" s="67">
        <f t="shared" si="1"/>
        <v>1</v>
      </c>
      <c r="K33" s="229">
        <f>IFERROR(L33/'План продаж.Кол-во'!K34,0)</f>
        <v>36.16705263157894</v>
      </c>
      <c r="L33" s="129">
        <f t="shared" si="3"/>
        <v>2805000</v>
      </c>
      <c r="M33" s="67">
        <f>РазбивкаДохода!F29*$J33*$G33</f>
        <v>360000</v>
      </c>
      <c r="N33" s="67">
        <f>РазбивкаДохода!G29*$J33*$G33</f>
        <v>832500</v>
      </c>
      <c r="O33" s="67">
        <f>РазбивкаДохода!H29*$J33*$G33</f>
        <v>825000</v>
      </c>
      <c r="P33" s="67">
        <f>РазбивкаДохода!I29*$J33*$G33</f>
        <v>787500</v>
      </c>
      <c r="Q33" s="129">
        <f t="shared" si="4"/>
        <v>1688449.9999999995</v>
      </c>
      <c r="R33" s="67">
        <f>M33*РазбивкаДохода!J28</f>
        <v>269999.99999999994</v>
      </c>
      <c r="S33" s="67">
        <f>N33*РазбивкаДохода!J29</f>
        <v>624374.99999999988</v>
      </c>
      <c r="T33" s="67">
        <f>O33*РазбивкаДохода!$K28</f>
        <v>274999.99999999994</v>
      </c>
      <c r="U33" s="67">
        <f>P33*РазбивкаДохода!J28</f>
        <v>590624.99999999988</v>
      </c>
      <c r="V33" s="67">
        <f t="shared" si="5"/>
        <v>-71550</v>
      </c>
      <c r="W33" s="67">
        <f>'Скидки и клиентская база'!T34*Нстр.Скидка</f>
        <v>0</v>
      </c>
      <c r="X33" s="67">
        <f>'Скидки и клиентская база'!U34</f>
        <v>-25799.638554216868</v>
      </c>
    </row>
    <row r="34" spans="2:24" x14ac:dyDescent="0.25">
      <c r="B34" s="67">
        <f t="shared" si="6"/>
        <v>28</v>
      </c>
      <c r="C34" s="67">
        <f t="shared" si="7"/>
        <v>6</v>
      </c>
      <c r="D34" s="67">
        <f t="shared" si="0"/>
        <v>2020</v>
      </c>
      <c r="E34" s="122">
        <f>EOMONTH(Настройки!$I$7,'План продаж'!B34)</f>
        <v>44012</v>
      </c>
      <c r="F34" s="67" t="str">
        <f>INDEX(Сезонность!$G$7:$G$18,MATCH(C34,Сезонность!$F$7:$F$18,0),1)</f>
        <v>Лето</v>
      </c>
      <c r="G34" s="134">
        <f>INDEX(Сезонность!$H$6:$H$18,MATCH(C34,Сезонность!$F$6:$F$18,0),1)</f>
        <v>0.75</v>
      </c>
      <c r="H34" s="67"/>
      <c r="I34" s="67"/>
      <c r="J34" s="67">
        <f t="shared" si="1"/>
        <v>1</v>
      </c>
      <c r="K34" s="229">
        <f>IFERROR(L34/'План продаж.Кол-во'!K35,0)</f>
        <v>36.16705263157894</v>
      </c>
      <c r="L34" s="129">
        <f t="shared" si="3"/>
        <v>2805000</v>
      </c>
      <c r="M34" s="67">
        <f>РазбивкаДохода!F30*$J34*$G34</f>
        <v>360000</v>
      </c>
      <c r="N34" s="67">
        <f>РазбивкаДохода!G30*$J34*$G34</f>
        <v>832500</v>
      </c>
      <c r="O34" s="67">
        <f>РазбивкаДохода!H30*$J34*$G34</f>
        <v>825000</v>
      </c>
      <c r="P34" s="67">
        <f>РазбивкаДохода!I30*$J34*$G34</f>
        <v>787500</v>
      </c>
      <c r="Q34" s="129">
        <f t="shared" si="4"/>
        <v>1688449.9999999995</v>
      </c>
      <c r="R34" s="67">
        <f>M34*РазбивкаДохода!J29</f>
        <v>269999.99999999994</v>
      </c>
      <c r="S34" s="67">
        <f>N34*РазбивкаДохода!J30</f>
        <v>624374.99999999988</v>
      </c>
      <c r="T34" s="67">
        <f>O34*РазбивкаДохода!$K29</f>
        <v>274999.99999999994</v>
      </c>
      <c r="U34" s="67">
        <f>P34*РазбивкаДохода!J29</f>
        <v>590624.99999999988</v>
      </c>
      <c r="V34" s="67">
        <f t="shared" si="5"/>
        <v>-71550</v>
      </c>
      <c r="W34" s="67">
        <f>'Скидки и клиентская база'!T35*Нстр.Скидка</f>
        <v>0</v>
      </c>
      <c r="X34" s="67">
        <f>'Скидки и клиентская база'!U35</f>
        <v>-25799.638554216868</v>
      </c>
    </row>
    <row r="35" spans="2:24" x14ac:dyDescent="0.25">
      <c r="B35" s="67">
        <f t="shared" si="6"/>
        <v>29</v>
      </c>
      <c r="C35" s="67">
        <f t="shared" si="7"/>
        <v>7</v>
      </c>
      <c r="D35" s="67">
        <f t="shared" si="0"/>
        <v>2020</v>
      </c>
      <c r="E35" s="122">
        <f>EOMONTH(Настройки!$I$7,'План продаж'!B35)</f>
        <v>44043</v>
      </c>
      <c r="F35" s="67" t="str">
        <f>INDEX(Сезонность!$G$7:$G$18,MATCH(C35,Сезонность!$F$7:$F$18,0),1)</f>
        <v>Лето</v>
      </c>
      <c r="G35" s="134">
        <f>INDEX(Сезонность!$H$6:$H$18,MATCH(C35,Сезонность!$F$6:$F$18,0),1)</f>
        <v>0.75</v>
      </c>
      <c r="H35" s="67"/>
      <c r="I35" s="67"/>
      <c r="J35" s="67">
        <f t="shared" si="1"/>
        <v>1</v>
      </c>
      <c r="K35" s="229">
        <f>IFERROR(L35/'План продаж.Кол-во'!K36,0)</f>
        <v>36.16705263157894</v>
      </c>
      <c r="L35" s="129">
        <f t="shared" si="3"/>
        <v>2805000</v>
      </c>
      <c r="M35" s="67">
        <f>РазбивкаДохода!F31*$J35*$G35</f>
        <v>360000</v>
      </c>
      <c r="N35" s="67">
        <f>РазбивкаДохода!G31*$J35*$G35</f>
        <v>832500</v>
      </c>
      <c r="O35" s="67">
        <f>РазбивкаДохода!H31*$J35*$G35</f>
        <v>825000</v>
      </c>
      <c r="P35" s="67">
        <f>РазбивкаДохода!I31*$J35*$G35</f>
        <v>787500</v>
      </c>
      <c r="Q35" s="129">
        <f t="shared" si="4"/>
        <v>1688449.9999999995</v>
      </c>
      <c r="R35" s="67">
        <f>M35*РазбивкаДохода!J30</f>
        <v>269999.99999999994</v>
      </c>
      <c r="S35" s="67">
        <f>N35*РазбивкаДохода!J31</f>
        <v>624374.99999999988</v>
      </c>
      <c r="T35" s="67">
        <f>O35*РазбивкаДохода!$K30</f>
        <v>274999.99999999994</v>
      </c>
      <c r="U35" s="67">
        <f>P35*РазбивкаДохода!J30</f>
        <v>590624.99999999988</v>
      </c>
      <c r="V35" s="67">
        <f t="shared" si="5"/>
        <v>-71550</v>
      </c>
      <c r="W35" s="67">
        <f>'Скидки и клиентская база'!T36*Нстр.Скидка</f>
        <v>0</v>
      </c>
      <c r="X35" s="67">
        <f>'Скидки и клиентская база'!U36</f>
        <v>-25799.638554216868</v>
      </c>
    </row>
    <row r="36" spans="2:24" x14ac:dyDescent="0.25">
      <c r="B36" s="67">
        <f t="shared" si="6"/>
        <v>30</v>
      </c>
      <c r="C36" s="67">
        <f t="shared" si="7"/>
        <v>8</v>
      </c>
      <c r="D36" s="67">
        <f t="shared" si="0"/>
        <v>2020</v>
      </c>
      <c r="E36" s="122">
        <f>EOMONTH(Настройки!$I$7,'План продаж'!B36)</f>
        <v>44074</v>
      </c>
      <c r="F36" s="67" t="str">
        <f>INDEX(Сезонность!$G$7:$G$18,MATCH(C36,Сезонность!$F$7:$F$18,0),1)</f>
        <v>Лето</v>
      </c>
      <c r="G36" s="134">
        <f>INDEX(Сезонность!$H$6:$H$18,MATCH(C36,Сезонность!$F$6:$F$18,0),1)</f>
        <v>0.75</v>
      </c>
      <c r="H36" s="67"/>
      <c r="I36" s="67"/>
      <c r="J36" s="67">
        <f t="shared" si="1"/>
        <v>1</v>
      </c>
      <c r="K36" s="229">
        <f>IFERROR(L36/'План продаж.Кол-во'!K37,0)</f>
        <v>36.16705263157894</v>
      </c>
      <c r="L36" s="129">
        <f t="shared" si="3"/>
        <v>2805000</v>
      </c>
      <c r="M36" s="67">
        <f>РазбивкаДохода!F32*$J36*$G36</f>
        <v>360000</v>
      </c>
      <c r="N36" s="67">
        <f>РазбивкаДохода!G32*$J36*$G36</f>
        <v>832500</v>
      </c>
      <c r="O36" s="67">
        <f>РазбивкаДохода!H32*$J36*$G36</f>
        <v>825000</v>
      </c>
      <c r="P36" s="67">
        <f>РазбивкаДохода!I32*$J36*$G36</f>
        <v>787500</v>
      </c>
      <c r="Q36" s="129">
        <f t="shared" si="4"/>
        <v>1688449.9999999995</v>
      </c>
      <c r="R36" s="67">
        <f>M36*РазбивкаДохода!J31</f>
        <v>269999.99999999994</v>
      </c>
      <c r="S36" s="67">
        <f>N36*РазбивкаДохода!J32</f>
        <v>624374.99999999988</v>
      </c>
      <c r="T36" s="67">
        <f>O36*РазбивкаДохода!$K31</f>
        <v>274999.99999999994</v>
      </c>
      <c r="U36" s="67">
        <f>P36*РазбивкаДохода!J31</f>
        <v>590624.99999999988</v>
      </c>
      <c r="V36" s="67">
        <f t="shared" si="5"/>
        <v>-71550</v>
      </c>
      <c r="W36" s="67">
        <f>'Скидки и клиентская база'!T37*Нстр.Скидка</f>
        <v>0</v>
      </c>
      <c r="X36" s="67">
        <f>'Скидки и клиентская база'!U37</f>
        <v>-25799.638554216868</v>
      </c>
    </row>
    <row r="37" spans="2:24" x14ac:dyDescent="0.25">
      <c r="B37" s="67">
        <f t="shared" si="6"/>
        <v>31</v>
      </c>
      <c r="C37" s="67">
        <f t="shared" si="7"/>
        <v>9</v>
      </c>
      <c r="D37" s="67">
        <f t="shared" si="0"/>
        <v>2020</v>
      </c>
      <c r="E37" s="122">
        <f>EOMONTH(Настройки!$I$7,'План продаж'!B37)</f>
        <v>44104</v>
      </c>
      <c r="F37" s="67" t="str">
        <f>INDEX(Сезонность!$G$7:$G$18,MATCH(C37,Сезонность!$F$7:$F$18,0),1)</f>
        <v>Осень</v>
      </c>
      <c r="G37" s="134">
        <f>INDEX(Сезонность!$H$6:$H$18,MATCH(C37,Сезонность!$F$6:$F$18,0),1)</f>
        <v>0.75</v>
      </c>
      <c r="H37" s="67"/>
      <c r="I37" s="67"/>
      <c r="J37" s="67">
        <f t="shared" si="1"/>
        <v>1</v>
      </c>
      <c r="K37" s="229">
        <f>IFERROR(L37/'План продаж.Кол-во'!K38,0)</f>
        <v>36.16705263157894</v>
      </c>
      <c r="L37" s="129">
        <f t="shared" si="3"/>
        <v>2805000</v>
      </c>
      <c r="M37" s="67">
        <f>РазбивкаДохода!F33*$J37*$G37</f>
        <v>360000</v>
      </c>
      <c r="N37" s="67">
        <f>РазбивкаДохода!G33*$J37*$G37</f>
        <v>832500</v>
      </c>
      <c r="O37" s="67">
        <f>РазбивкаДохода!H33*$J37*$G37</f>
        <v>825000</v>
      </c>
      <c r="P37" s="67">
        <f>РазбивкаДохода!I33*$J37*$G37</f>
        <v>787500</v>
      </c>
      <c r="Q37" s="129">
        <f t="shared" si="4"/>
        <v>1688449.9999999995</v>
      </c>
      <c r="R37" s="67">
        <f>M37*РазбивкаДохода!J32</f>
        <v>269999.99999999994</v>
      </c>
      <c r="S37" s="67">
        <f>N37*РазбивкаДохода!J33</f>
        <v>624374.99999999988</v>
      </c>
      <c r="T37" s="67">
        <f>O37*РазбивкаДохода!$K32</f>
        <v>274999.99999999994</v>
      </c>
      <c r="U37" s="67">
        <f>P37*РазбивкаДохода!J32</f>
        <v>590624.99999999988</v>
      </c>
      <c r="V37" s="67">
        <f t="shared" si="5"/>
        <v>-71550</v>
      </c>
      <c r="W37" s="67">
        <f>'Скидки и клиентская база'!T38*Нстр.Скидка</f>
        <v>0</v>
      </c>
      <c r="X37" s="67">
        <f>'Скидки и клиентская база'!U38</f>
        <v>-25799.638554216868</v>
      </c>
    </row>
    <row r="38" spans="2:24" x14ac:dyDescent="0.25">
      <c r="B38" s="67">
        <f t="shared" si="6"/>
        <v>32</v>
      </c>
      <c r="C38" s="67">
        <f t="shared" si="7"/>
        <v>10</v>
      </c>
      <c r="D38" s="67">
        <f t="shared" ref="D38:D66" si="8">YEAR(E38)</f>
        <v>2020</v>
      </c>
      <c r="E38" s="122">
        <f>EOMONTH(Настройки!$I$7,'План продаж'!B38)</f>
        <v>44135</v>
      </c>
      <c r="F38" s="67" t="str">
        <f>INDEX(Сезонность!$G$7:$G$18,MATCH(C38,Сезонность!$F$7:$F$18,0),1)</f>
        <v>Осень</v>
      </c>
      <c r="G38" s="134">
        <f>INDEX(Сезонность!$H$6:$H$18,MATCH(C38,Сезонность!$F$6:$F$18,0),1)</f>
        <v>1</v>
      </c>
      <c r="H38" s="67"/>
      <c r="I38" s="67"/>
      <c r="J38" s="67">
        <f t="shared" ref="J38:J66" si="9">INDEX(Коэф_Сценария,MATCH(Нстр_Сценарий,Сценарии,0),1)</f>
        <v>1</v>
      </c>
      <c r="K38" s="229">
        <f>IFERROR(L38/'План продаж.Кол-во'!K39,0)</f>
        <v>36.167052631578947</v>
      </c>
      <c r="L38" s="129">
        <f t="shared" si="3"/>
        <v>3740000</v>
      </c>
      <c r="M38" s="67">
        <f>РазбивкаДохода!F34*$J38*$G38</f>
        <v>480000</v>
      </c>
      <c r="N38" s="67">
        <f>РазбивкаДохода!G34*$J38*$G38</f>
        <v>1110000</v>
      </c>
      <c r="O38" s="67">
        <f>РазбивкаДохода!H34*$J38*$G38</f>
        <v>1100000</v>
      </c>
      <c r="P38" s="67">
        <f>РазбивкаДохода!I34*$J38*$G38</f>
        <v>1050000</v>
      </c>
      <c r="Q38" s="129">
        <f t="shared" si="4"/>
        <v>2251266.666666666</v>
      </c>
      <c r="R38" s="67">
        <f>M38*РазбивкаДохода!J33</f>
        <v>359999.99999999994</v>
      </c>
      <c r="S38" s="67">
        <f>N38*РазбивкаДохода!J34</f>
        <v>832499.99999999988</v>
      </c>
      <c r="T38" s="67">
        <f>O38*РазбивкаДохода!$K33</f>
        <v>366666.66666666657</v>
      </c>
      <c r="U38" s="67">
        <f>P38*РазбивкаДохода!J33</f>
        <v>787499.99999999988</v>
      </c>
      <c r="V38" s="67">
        <f t="shared" si="5"/>
        <v>-95400</v>
      </c>
      <c r="W38" s="67">
        <f>'Скидки и клиентская база'!T39*Нстр.Скидка</f>
        <v>0</v>
      </c>
      <c r="X38" s="67">
        <f>'Скидки и клиентская база'!U39</f>
        <v>-25799.638554216868</v>
      </c>
    </row>
    <row r="39" spans="2:24" x14ac:dyDescent="0.25">
      <c r="B39" s="67">
        <f t="shared" si="6"/>
        <v>33</v>
      </c>
      <c r="C39" s="67">
        <f t="shared" si="7"/>
        <v>11</v>
      </c>
      <c r="D39" s="67">
        <f t="shared" si="8"/>
        <v>2020</v>
      </c>
      <c r="E39" s="122">
        <f>EOMONTH(Настройки!$I$7,'План продаж'!B39)</f>
        <v>44165</v>
      </c>
      <c r="F39" s="67" t="str">
        <f>INDEX(Сезонность!$G$7:$G$18,MATCH(C39,Сезонность!$F$7:$F$18,0),1)</f>
        <v>Осень</v>
      </c>
      <c r="G39" s="134">
        <f>INDEX(Сезонность!$H$6:$H$18,MATCH(C39,Сезонность!$F$6:$F$18,0),1)</f>
        <v>1</v>
      </c>
      <c r="H39" s="67"/>
      <c r="I39" s="67"/>
      <c r="J39" s="67">
        <f t="shared" si="9"/>
        <v>1</v>
      </c>
      <c r="K39" s="229">
        <f>IFERROR(L39/'План продаж.Кол-во'!K40,0)</f>
        <v>36.167052631578947</v>
      </c>
      <c r="L39" s="129">
        <f t="shared" si="3"/>
        <v>3740000</v>
      </c>
      <c r="M39" s="67">
        <f>РазбивкаДохода!F35*$J39*$G39</f>
        <v>480000</v>
      </c>
      <c r="N39" s="67">
        <f>РазбивкаДохода!G35*$J39*$G39</f>
        <v>1110000</v>
      </c>
      <c r="O39" s="67">
        <f>РазбивкаДохода!H35*$J39*$G39</f>
        <v>1100000</v>
      </c>
      <c r="P39" s="67">
        <f>РазбивкаДохода!I35*$J39*$G39</f>
        <v>1050000</v>
      </c>
      <c r="Q39" s="129">
        <f t="shared" si="4"/>
        <v>2251266.666666666</v>
      </c>
      <c r="R39" s="67">
        <f>M39*РазбивкаДохода!J34</f>
        <v>359999.99999999994</v>
      </c>
      <c r="S39" s="67">
        <f>N39*РазбивкаДохода!J35</f>
        <v>832499.99999999988</v>
      </c>
      <c r="T39" s="67">
        <f>O39*РазбивкаДохода!$K34</f>
        <v>366666.66666666657</v>
      </c>
      <c r="U39" s="67">
        <f>P39*РазбивкаДохода!J34</f>
        <v>787499.99999999988</v>
      </c>
      <c r="V39" s="67">
        <f t="shared" ref="V39:V66" si="10">-прцПремия*(M39+N39)</f>
        <v>-95400</v>
      </c>
      <c r="W39" s="67">
        <f>'Скидки и клиентская база'!T40*Нстр.Скидка</f>
        <v>0</v>
      </c>
      <c r="X39" s="67">
        <f>'Скидки и клиентская база'!U40</f>
        <v>-25799.638554216868</v>
      </c>
    </row>
    <row r="40" spans="2:24" x14ac:dyDescent="0.25">
      <c r="B40" s="67">
        <f t="shared" si="6"/>
        <v>34</v>
      </c>
      <c r="C40" s="67">
        <f t="shared" si="7"/>
        <v>12</v>
      </c>
      <c r="D40" s="67">
        <f t="shared" si="8"/>
        <v>2020</v>
      </c>
      <c r="E40" s="122">
        <f>EOMONTH(Настройки!$I$7,'План продаж'!B40)</f>
        <v>44196</v>
      </c>
      <c r="F40" s="67" t="str">
        <f>INDEX(Сезонность!$G$7:$G$18,MATCH(C40,Сезонность!$F$7:$F$18,0),1)</f>
        <v>Зима</v>
      </c>
      <c r="G40" s="134">
        <f>INDEX(Сезонность!$H$6:$H$18,MATCH(C40,Сезонность!$F$6:$F$18,0),1)</f>
        <v>1</v>
      </c>
      <c r="H40" s="67"/>
      <c r="I40" s="67"/>
      <c r="J40" s="67">
        <f t="shared" si="9"/>
        <v>1</v>
      </c>
      <c r="K40" s="229">
        <f>IFERROR(L40/'План продаж.Кол-во'!K41,0)</f>
        <v>36.167052631578947</v>
      </c>
      <c r="L40" s="129">
        <f t="shared" si="3"/>
        <v>3740000</v>
      </c>
      <c r="M40" s="67">
        <f>РазбивкаДохода!F36*$J40*$G40</f>
        <v>480000</v>
      </c>
      <c r="N40" s="67">
        <f>РазбивкаДохода!G36*$J40*$G40</f>
        <v>1110000</v>
      </c>
      <c r="O40" s="67">
        <f>РазбивкаДохода!H36*$J40*$G40</f>
        <v>1100000</v>
      </c>
      <c r="P40" s="67">
        <f>РазбивкаДохода!I36*$J40*$G40</f>
        <v>1050000</v>
      </c>
      <c r="Q40" s="129">
        <f t="shared" si="4"/>
        <v>2251266.666666666</v>
      </c>
      <c r="R40" s="67">
        <f>M40*РазбивкаДохода!J35</f>
        <v>359999.99999999994</v>
      </c>
      <c r="S40" s="67">
        <f>N40*РазбивкаДохода!J36</f>
        <v>832499.99999999988</v>
      </c>
      <c r="T40" s="67">
        <f>O40*РазбивкаДохода!$K35</f>
        <v>366666.66666666657</v>
      </c>
      <c r="U40" s="67">
        <f>P40*РазбивкаДохода!J35</f>
        <v>787499.99999999988</v>
      </c>
      <c r="V40" s="67">
        <f t="shared" si="10"/>
        <v>-95400</v>
      </c>
      <c r="W40" s="67">
        <f>'Скидки и клиентская база'!T41*Нстр.Скидка</f>
        <v>0</v>
      </c>
      <c r="X40" s="67">
        <f>'Скидки и клиентская база'!U41</f>
        <v>-25799.638554216868</v>
      </c>
    </row>
    <row r="41" spans="2:24" x14ac:dyDescent="0.25">
      <c r="B41" s="67">
        <f t="shared" si="6"/>
        <v>35</v>
      </c>
      <c r="C41" s="67">
        <f t="shared" si="7"/>
        <v>1</v>
      </c>
      <c r="D41" s="67">
        <f t="shared" si="8"/>
        <v>2021</v>
      </c>
      <c r="E41" s="122">
        <f>EOMONTH(Настройки!$I$7,'План продаж'!B41)</f>
        <v>44227</v>
      </c>
      <c r="F41" s="67" t="str">
        <f>INDEX(Сезонность!$G$7:$G$18,MATCH(C41,Сезонность!$F$7:$F$18,0),1)</f>
        <v>Зима</v>
      </c>
      <c r="G41" s="134">
        <f>INDEX(Сезонность!$H$6:$H$18,MATCH(C41,Сезонность!$F$6:$F$18,0),1)</f>
        <v>1</v>
      </c>
      <c r="H41" s="67"/>
      <c r="I41" s="67"/>
      <c r="J41" s="67">
        <f t="shared" si="9"/>
        <v>1</v>
      </c>
      <c r="K41" s="229">
        <f>IFERROR(L41/'План продаж.Кол-во'!K42,0)</f>
        <v>36.167052631578947</v>
      </c>
      <c r="L41" s="129">
        <f t="shared" si="3"/>
        <v>3740000</v>
      </c>
      <c r="M41" s="67">
        <f>РазбивкаДохода!F37*$J41*$G41</f>
        <v>480000</v>
      </c>
      <c r="N41" s="67">
        <f>РазбивкаДохода!G37*$J41*$G41</f>
        <v>1110000</v>
      </c>
      <c r="O41" s="67">
        <f>РазбивкаДохода!H37*$J41*$G41</f>
        <v>1100000</v>
      </c>
      <c r="P41" s="67">
        <f>РазбивкаДохода!I37*$J41*$G41</f>
        <v>1050000</v>
      </c>
      <c r="Q41" s="129">
        <f t="shared" si="4"/>
        <v>2251266.666666666</v>
      </c>
      <c r="R41" s="67">
        <f>M41*РазбивкаДохода!J36</f>
        <v>359999.99999999994</v>
      </c>
      <c r="S41" s="67">
        <f>N41*РазбивкаДохода!J37</f>
        <v>832499.99999999988</v>
      </c>
      <c r="T41" s="67">
        <f>O41*РазбивкаДохода!$K36</f>
        <v>366666.66666666657</v>
      </c>
      <c r="U41" s="67">
        <f>P41*РазбивкаДохода!J36</f>
        <v>787499.99999999988</v>
      </c>
      <c r="V41" s="67">
        <f t="shared" si="10"/>
        <v>-95400</v>
      </c>
      <c r="W41" s="67">
        <f>'Скидки и клиентская база'!T42*Нстр.Скидка</f>
        <v>0</v>
      </c>
      <c r="X41" s="67">
        <f>'Скидки и клиентская база'!U42</f>
        <v>-25799.638554216868</v>
      </c>
    </row>
    <row r="42" spans="2:24" x14ac:dyDescent="0.25">
      <c r="B42" s="67">
        <f t="shared" si="6"/>
        <v>36</v>
      </c>
      <c r="C42" s="67">
        <f t="shared" si="7"/>
        <v>2</v>
      </c>
      <c r="D42" s="67">
        <f t="shared" si="8"/>
        <v>2021</v>
      </c>
      <c r="E42" s="122">
        <f>EOMONTH(Настройки!$I$7,'План продаж'!B42)</f>
        <v>44255</v>
      </c>
      <c r="F42" s="67" t="str">
        <f>INDEX(Сезонность!$G$7:$G$18,MATCH(C42,Сезонность!$F$7:$F$18,0),1)</f>
        <v>Зима</v>
      </c>
      <c r="G42" s="134">
        <f>INDEX(Сезонность!$H$6:$H$18,MATCH(C42,Сезонность!$F$6:$F$18,0),1)</f>
        <v>1</v>
      </c>
      <c r="H42" s="67"/>
      <c r="I42" s="67"/>
      <c r="J42" s="67">
        <f t="shared" si="9"/>
        <v>1</v>
      </c>
      <c r="K42" s="229">
        <f>IFERROR(L42/'План продаж.Кол-во'!K43,0)</f>
        <v>36.167052631578947</v>
      </c>
      <c r="L42" s="129">
        <f t="shared" si="3"/>
        <v>3740000</v>
      </c>
      <c r="M42" s="67">
        <f>РазбивкаДохода!F38*$J42*$G42</f>
        <v>480000</v>
      </c>
      <c r="N42" s="67">
        <f>РазбивкаДохода!G38*$J42*$G42</f>
        <v>1110000</v>
      </c>
      <c r="O42" s="67">
        <f>РазбивкаДохода!H38*$J42*$G42</f>
        <v>1100000</v>
      </c>
      <c r="P42" s="67">
        <f>РазбивкаДохода!I38*$J42*$G42</f>
        <v>1050000</v>
      </c>
      <c r="Q42" s="129">
        <f t="shared" si="4"/>
        <v>2251266.666666666</v>
      </c>
      <c r="R42" s="67">
        <f>M42*РазбивкаДохода!J37</f>
        <v>359999.99999999994</v>
      </c>
      <c r="S42" s="67">
        <f>N42*РазбивкаДохода!J38</f>
        <v>832499.99999999988</v>
      </c>
      <c r="T42" s="67">
        <f>O42*РазбивкаДохода!$K37</f>
        <v>366666.66666666657</v>
      </c>
      <c r="U42" s="67">
        <f>P42*РазбивкаДохода!J37</f>
        <v>787499.99999999988</v>
      </c>
      <c r="V42" s="67">
        <f t="shared" si="10"/>
        <v>-95400</v>
      </c>
      <c r="W42" s="67">
        <f>'Скидки и клиентская база'!T43*Нстр.Скидка</f>
        <v>0</v>
      </c>
      <c r="X42" s="67">
        <f>'Скидки и клиентская база'!U43</f>
        <v>-25799.638554216868</v>
      </c>
    </row>
    <row r="43" spans="2:24" x14ac:dyDescent="0.25">
      <c r="B43" s="67">
        <f t="shared" ref="B43:B66" si="11">B42+1</f>
        <v>37</v>
      </c>
      <c r="C43" s="67">
        <f t="shared" ref="C43:C66" si="12">IF(C42=12,1,C42+1)</f>
        <v>3</v>
      </c>
      <c r="D43" s="67">
        <f t="shared" si="8"/>
        <v>2021</v>
      </c>
      <c r="E43" s="122">
        <f>EOMONTH(Настройки!$I$7,'План продаж'!B43)</f>
        <v>44286</v>
      </c>
      <c r="F43" s="67" t="str">
        <f>INDEX(Сезонность!$G$7:$G$18,MATCH(C43,Сезонность!$F$7:$F$18,0),1)</f>
        <v>Весна</v>
      </c>
      <c r="G43" s="134">
        <f>INDEX(Сезонность!$H$6:$H$18,MATCH(C43,Сезонность!$F$6:$F$18,0),1)</f>
        <v>1</v>
      </c>
      <c r="H43" s="67"/>
      <c r="I43" s="67"/>
      <c r="J43" s="67">
        <f t="shared" si="9"/>
        <v>1</v>
      </c>
      <c r="K43" s="229">
        <f>IFERROR(L43/'План продаж.Кол-во'!K44,0)</f>
        <v>36.167052631578947</v>
      </c>
      <c r="L43" s="129">
        <f t="shared" si="3"/>
        <v>3740000</v>
      </c>
      <c r="M43" s="67">
        <f>РазбивкаДохода!F39*$J43*$G43</f>
        <v>480000</v>
      </c>
      <c r="N43" s="67">
        <f>РазбивкаДохода!G39*$J43*$G43</f>
        <v>1110000</v>
      </c>
      <c r="O43" s="67">
        <f>РазбивкаДохода!H39*$J43*$G43</f>
        <v>1100000</v>
      </c>
      <c r="P43" s="67">
        <f>РазбивкаДохода!I39*$J43*$G43</f>
        <v>1050000</v>
      </c>
      <c r="Q43" s="129">
        <f t="shared" si="4"/>
        <v>2251266.666666666</v>
      </c>
      <c r="R43" s="67">
        <f>M43*РазбивкаДохода!J38</f>
        <v>359999.99999999994</v>
      </c>
      <c r="S43" s="67">
        <f>N43*РазбивкаДохода!J39</f>
        <v>832499.99999999988</v>
      </c>
      <c r="T43" s="67">
        <f>O43*РазбивкаДохода!$K38</f>
        <v>366666.66666666657</v>
      </c>
      <c r="U43" s="67">
        <f>P43*РазбивкаДохода!J38</f>
        <v>787499.99999999988</v>
      </c>
      <c r="V43" s="67">
        <f t="shared" si="10"/>
        <v>-95400</v>
      </c>
      <c r="W43" s="67">
        <f>'Скидки и клиентская база'!T44*Нстр.Скидка</f>
        <v>0</v>
      </c>
      <c r="X43" s="67">
        <f>'Скидки и клиентская база'!U44</f>
        <v>-25799.638554216868</v>
      </c>
    </row>
    <row r="44" spans="2:24" x14ac:dyDescent="0.25">
      <c r="B44" s="67">
        <f t="shared" si="11"/>
        <v>38</v>
      </c>
      <c r="C44" s="67">
        <f t="shared" si="12"/>
        <v>4</v>
      </c>
      <c r="D44" s="67">
        <f t="shared" si="8"/>
        <v>2021</v>
      </c>
      <c r="E44" s="122">
        <f>EOMONTH(Настройки!$I$7,'План продаж'!B44)</f>
        <v>44316</v>
      </c>
      <c r="F44" s="67" t="str">
        <f>INDEX(Сезонность!$G$7:$G$18,MATCH(C44,Сезонность!$F$7:$F$18,0),1)</f>
        <v>Весна</v>
      </c>
      <c r="G44" s="134">
        <f>INDEX(Сезонность!$H$6:$H$18,MATCH(C44,Сезонность!$F$6:$F$18,0),1)</f>
        <v>1</v>
      </c>
      <c r="H44" s="67"/>
      <c r="I44" s="67"/>
      <c r="J44" s="67">
        <f t="shared" si="9"/>
        <v>1</v>
      </c>
      <c r="K44" s="229">
        <f>IFERROR(L44/'План продаж.Кол-во'!K45,0)</f>
        <v>36.167052631578947</v>
      </c>
      <c r="L44" s="129">
        <f t="shared" si="3"/>
        <v>3740000</v>
      </c>
      <c r="M44" s="67">
        <f>РазбивкаДохода!F40*$J44*$G44</f>
        <v>480000</v>
      </c>
      <c r="N44" s="67">
        <f>РазбивкаДохода!G40*$J44*$G44</f>
        <v>1110000</v>
      </c>
      <c r="O44" s="67">
        <f>РазбивкаДохода!H40*$J44*$G44</f>
        <v>1100000</v>
      </c>
      <c r="P44" s="67">
        <f>РазбивкаДохода!I40*$J44*$G44</f>
        <v>1050000</v>
      </c>
      <c r="Q44" s="129">
        <f t="shared" si="4"/>
        <v>2251266.666666666</v>
      </c>
      <c r="R44" s="67">
        <f>M44*РазбивкаДохода!J39</f>
        <v>359999.99999999994</v>
      </c>
      <c r="S44" s="67">
        <f>N44*РазбивкаДохода!J40</f>
        <v>832499.99999999988</v>
      </c>
      <c r="T44" s="67">
        <f>O44*РазбивкаДохода!$K39</f>
        <v>366666.66666666657</v>
      </c>
      <c r="U44" s="67">
        <f>P44*РазбивкаДохода!J39</f>
        <v>787499.99999999988</v>
      </c>
      <c r="V44" s="67">
        <f t="shared" si="10"/>
        <v>-95400</v>
      </c>
      <c r="W44" s="67">
        <f>'Скидки и клиентская база'!T45*Нстр.Скидка</f>
        <v>0</v>
      </c>
      <c r="X44" s="67">
        <f>'Скидки и клиентская база'!U45</f>
        <v>-25799.638554216868</v>
      </c>
    </row>
    <row r="45" spans="2:24" x14ac:dyDescent="0.25">
      <c r="B45" s="67">
        <f t="shared" si="11"/>
        <v>39</v>
      </c>
      <c r="C45" s="67">
        <f t="shared" si="12"/>
        <v>5</v>
      </c>
      <c r="D45" s="67">
        <f t="shared" si="8"/>
        <v>2021</v>
      </c>
      <c r="E45" s="122">
        <f>EOMONTH(Настройки!$I$7,'План продаж'!B45)</f>
        <v>44347</v>
      </c>
      <c r="F45" s="67" t="str">
        <f>INDEX(Сезонность!$G$7:$G$18,MATCH(C45,Сезонность!$F$7:$F$18,0),1)</f>
        <v>Весна</v>
      </c>
      <c r="G45" s="134">
        <f>INDEX(Сезонность!$H$6:$H$18,MATCH(C45,Сезонность!$F$6:$F$18,0),1)</f>
        <v>0.75</v>
      </c>
      <c r="H45" s="67"/>
      <c r="I45" s="67"/>
      <c r="J45" s="67">
        <f t="shared" si="9"/>
        <v>1</v>
      </c>
      <c r="K45" s="229">
        <f>IFERROR(L45/'План продаж.Кол-во'!K46,0)</f>
        <v>36.16705263157894</v>
      </c>
      <c r="L45" s="129">
        <f t="shared" si="3"/>
        <v>2805000</v>
      </c>
      <c r="M45" s="67">
        <f>РазбивкаДохода!F41*$J45*$G45</f>
        <v>360000</v>
      </c>
      <c r="N45" s="67">
        <f>РазбивкаДохода!G41*$J45*$G45</f>
        <v>832500</v>
      </c>
      <c r="O45" s="67">
        <f>РазбивкаДохода!H41*$J45*$G45</f>
        <v>825000</v>
      </c>
      <c r="P45" s="67">
        <f>РазбивкаДохода!I41*$J45*$G45</f>
        <v>787500</v>
      </c>
      <c r="Q45" s="129">
        <f t="shared" si="4"/>
        <v>1688449.9999999995</v>
      </c>
      <c r="R45" s="67">
        <f>M45*РазбивкаДохода!J40</f>
        <v>269999.99999999994</v>
      </c>
      <c r="S45" s="67">
        <f>N45*РазбивкаДохода!J41</f>
        <v>624374.99999999988</v>
      </c>
      <c r="T45" s="67">
        <f>O45*РазбивкаДохода!$K40</f>
        <v>274999.99999999994</v>
      </c>
      <c r="U45" s="67">
        <f>P45*РазбивкаДохода!J40</f>
        <v>590624.99999999988</v>
      </c>
      <c r="V45" s="67">
        <f t="shared" si="10"/>
        <v>-71550</v>
      </c>
      <c r="W45" s="67">
        <f>'Скидки и клиентская база'!T46*Нстр.Скидка</f>
        <v>0</v>
      </c>
      <c r="X45" s="67">
        <f>'Скидки и клиентская база'!U46</f>
        <v>-25799.638554216868</v>
      </c>
    </row>
    <row r="46" spans="2:24" x14ac:dyDescent="0.25">
      <c r="B46" s="67">
        <f t="shared" si="11"/>
        <v>40</v>
      </c>
      <c r="C46" s="67">
        <f t="shared" si="12"/>
        <v>6</v>
      </c>
      <c r="D46" s="67">
        <f t="shared" si="8"/>
        <v>2021</v>
      </c>
      <c r="E46" s="122">
        <f>EOMONTH(Настройки!$I$7,'План продаж'!B46)</f>
        <v>44377</v>
      </c>
      <c r="F46" s="67" t="str">
        <f>INDEX(Сезонность!$G$7:$G$18,MATCH(C46,Сезонность!$F$7:$F$18,0),1)</f>
        <v>Лето</v>
      </c>
      <c r="G46" s="134">
        <f>INDEX(Сезонность!$H$6:$H$18,MATCH(C46,Сезонность!$F$6:$F$18,0),1)</f>
        <v>0.75</v>
      </c>
      <c r="H46" s="67"/>
      <c r="I46" s="67"/>
      <c r="J46" s="67">
        <f t="shared" si="9"/>
        <v>1</v>
      </c>
      <c r="K46" s="229">
        <f>IFERROR(L46/'План продаж.Кол-во'!K47,0)</f>
        <v>36.16705263157894</v>
      </c>
      <c r="L46" s="129">
        <f t="shared" si="3"/>
        <v>2805000</v>
      </c>
      <c r="M46" s="67">
        <f>РазбивкаДохода!F42*$J46*$G46</f>
        <v>360000</v>
      </c>
      <c r="N46" s="67">
        <f>РазбивкаДохода!G42*$J46*$G46</f>
        <v>832500</v>
      </c>
      <c r="O46" s="67">
        <f>РазбивкаДохода!H42*$J46*$G46</f>
        <v>825000</v>
      </c>
      <c r="P46" s="67">
        <f>РазбивкаДохода!I42*$J46*$G46</f>
        <v>787500</v>
      </c>
      <c r="Q46" s="129">
        <f t="shared" si="4"/>
        <v>1688449.9999999995</v>
      </c>
      <c r="R46" s="67">
        <f>M46*РазбивкаДохода!J41</f>
        <v>269999.99999999994</v>
      </c>
      <c r="S46" s="67">
        <f>N46*РазбивкаДохода!J42</f>
        <v>624374.99999999988</v>
      </c>
      <c r="T46" s="67">
        <f>O46*РазбивкаДохода!$K41</f>
        <v>274999.99999999994</v>
      </c>
      <c r="U46" s="67">
        <f>P46*РазбивкаДохода!J41</f>
        <v>590624.99999999988</v>
      </c>
      <c r="V46" s="67">
        <f t="shared" si="10"/>
        <v>-71550</v>
      </c>
      <c r="W46" s="67">
        <f>'Скидки и клиентская база'!T47*Нстр.Скидка</f>
        <v>0</v>
      </c>
      <c r="X46" s="67">
        <f>'Скидки и клиентская база'!U47</f>
        <v>-25799.638554216868</v>
      </c>
    </row>
    <row r="47" spans="2:24" x14ac:dyDescent="0.25">
      <c r="B47" s="67">
        <f t="shared" si="11"/>
        <v>41</v>
      </c>
      <c r="C47" s="67">
        <f t="shared" si="12"/>
        <v>7</v>
      </c>
      <c r="D47" s="67">
        <f t="shared" si="8"/>
        <v>2021</v>
      </c>
      <c r="E47" s="122">
        <f>EOMONTH(Настройки!$I$7,'План продаж'!B47)</f>
        <v>44408</v>
      </c>
      <c r="F47" s="67" t="str">
        <f>INDEX(Сезонность!$G$7:$G$18,MATCH(C47,Сезонность!$F$7:$F$18,0),1)</f>
        <v>Лето</v>
      </c>
      <c r="G47" s="134">
        <f>INDEX(Сезонность!$H$6:$H$18,MATCH(C47,Сезонность!$F$6:$F$18,0),1)</f>
        <v>0.75</v>
      </c>
      <c r="H47" s="67"/>
      <c r="I47" s="67"/>
      <c r="J47" s="67">
        <f t="shared" si="9"/>
        <v>1</v>
      </c>
      <c r="K47" s="229">
        <f>IFERROR(L47/'План продаж.Кол-во'!K48,0)</f>
        <v>36.16705263157894</v>
      </c>
      <c r="L47" s="129">
        <f t="shared" si="3"/>
        <v>2805000</v>
      </c>
      <c r="M47" s="67">
        <f>РазбивкаДохода!F43*$J47*$G47</f>
        <v>360000</v>
      </c>
      <c r="N47" s="67">
        <f>РазбивкаДохода!G43*$J47*$G47</f>
        <v>832500</v>
      </c>
      <c r="O47" s="67">
        <f>РазбивкаДохода!H43*$J47*$G47</f>
        <v>825000</v>
      </c>
      <c r="P47" s="67">
        <f>РазбивкаДохода!I43*$J47*$G47</f>
        <v>787500</v>
      </c>
      <c r="Q47" s="129">
        <f t="shared" si="4"/>
        <v>1688449.9999999995</v>
      </c>
      <c r="R47" s="67">
        <f>M47*РазбивкаДохода!J42</f>
        <v>269999.99999999994</v>
      </c>
      <c r="S47" s="67">
        <f>N47*РазбивкаДохода!J43</f>
        <v>624374.99999999988</v>
      </c>
      <c r="T47" s="67">
        <f>O47*РазбивкаДохода!$K42</f>
        <v>274999.99999999994</v>
      </c>
      <c r="U47" s="67">
        <f>P47*РазбивкаДохода!J42</f>
        <v>590624.99999999988</v>
      </c>
      <c r="V47" s="67">
        <f t="shared" si="10"/>
        <v>-71550</v>
      </c>
      <c r="W47" s="67">
        <f>'Скидки и клиентская база'!T48*Нстр.Скидка</f>
        <v>0</v>
      </c>
      <c r="X47" s="67">
        <f>'Скидки и клиентская база'!U48</f>
        <v>-25799.638554216868</v>
      </c>
    </row>
    <row r="48" spans="2:24" x14ac:dyDescent="0.25">
      <c r="B48" s="67">
        <f t="shared" si="11"/>
        <v>42</v>
      </c>
      <c r="C48" s="67">
        <f t="shared" si="12"/>
        <v>8</v>
      </c>
      <c r="D48" s="67">
        <f t="shared" si="8"/>
        <v>2021</v>
      </c>
      <c r="E48" s="122">
        <f>EOMONTH(Настройки!$I$7,'План продаж'!B48)</f>
        <v>44439</v>
      </c>
      <c r="F48" s="67" t="str">
        <f>INDEX(Сезонность!$G$7:$G$18,MATCH(C48,Сезонность!$F$7:$F$18,0),1)</f>
        <v>Лето</v>
      </c>
      <c r="G48" s="134">
        <f>INDEX(Сезонность!$H$6:$H$18,MATCH(C48,Сезонность!$F$6:$F$18,0),1)</f>
        <v>0.75</v>
      </c>
      <c r="H48" s="67"/>
      <c r="I48" s="67"/>
      <c r="J48" s="67">
        <f t="shared" si="9"/>
        <v>1</v>
      </c>
      <c r="K48" s="229">
        <f>IFERROR(L48/'План продаж.Кол-во'!K49,0)</f>
        <v>36.16705263157894</v>
      </c>
      <c r="L48" s="129">
        <f t="shared" si="3"/>
        <v>2805000</v>
      </c>
      <c r="M48" s="67">
        <f>РазбивкаДохода!F44*$J48*$G48</f>
        <v>360000</v>
      </c>
      <c r="N48" s="67">
        <f>РазбивкаДохода!G44*$J48*$G48</f>
        <v>832500</v>
      </c>
      <c r="O48" s="67">
        <f>РазбивкаДохода!H44*$J48*$G48</f>
        <v>825000</v>
      </c>
      <c r="P48" s="67">
        <f>РазбивкаДохода!I44*$J48*$G48</f>
        <v>787500</v>
      </c>
      <c r="Q48" s="129">
        <f t="shared" si="4"/>
        <v>1688449.9999999995</v>
      </c>
      <c r="R48" s="67">
        <f>M48*РазбивкаДохода!J43</f>
        <v>269999.99999999994</v>
      </c>
      <c r="S48" s="67">
        <f>N48*РазбивкаДохода!J44</f>
        <v>624374.99999999988</v>
      </c>
      <c r="T48" s="67">
        <f>O48*РазбивкаДохода!$K43</f>
        <v>274999.99999999994</v>
      </c>
      <c r="U48" s="67">
        <f>P48*РазбивкаДохода!J43</f>
        <v>590624.99999999988</v>
      </c>
      <c r="V48" s="67">
        <f t="shared" si="10"/>
        <v>-71550</v>
      </c>
      <c r="W48" s="67">
        <f>'Скидки и клиентская база'!T49*Нстр.Скидка</f>
        <v>0</v>
      </c>
      <c r="X48" s="67">
        <f>'Скидки и клиентская база'!U49</f>
        <v>-25799.638554216868</v>
      </c>
    </row>
    <row r="49" spans="2:24" x14ac:dyDescent="0.25">
      <c r="B49" s="67">
        <f t="shared" si="11"/>
        <v>43</v>
      </c>
      <c r="C49" s="67">
        <f t="shared" si="12"/>
        <v>9</v>
      </c>
      <c r="D49" s="67">
        <f t="shared" si="8"/>
        <v>2021</v>
      </c>
      <c r="E49" s="122">
        <f>EOMONTH(Настройки!$I$7,'План продаж'!B49)</f>
        <v>44469</v>
      </c>
      <c r="F49" s="67" t="str">
        <f>INDEX(Сезонность!$G$7:$G$18,MATCH(C49,Сезонность!$F$7:$F$18,0),1)</f>
        <v>Осень</v>
      </c>
      <c r="G49" s="134">
        <f>INDEX(Сезонность!$H$6:$H$18,MATCH(C49,Сезонность!$F$6:$F$18,0),1)</f>
        <v>0.75</v>
      </c>
      <c r="H49" s="67"/>
      <c r="I49" s="67"/>
      <c r="J49" s="67">
        <f t="shared" si="9"/>
        <v>1</v>
      </c>
      <c r="K49" s="229">
        <f>IFERROR(L49/'План продаж.Кол-во'!K50,0)</f>
        <v>36.16705263157894</v>
      </c>
      <c r="L49" s="129">
        <f t="shared" si="3"/>
        <v>2805000</v>
      </c>
      <c r="M49" s="67">
        <f>РазбивкаДохода!F45*$J49*$G49</f>
        <v>360000</v>
      </c>
      <c r="N49" s="67">
        <f>РазбивкаДохода!G45*$J49*$G49</f>
        <v>832500</v>
      </c>
      <c r="O49" s="67">
        <f>РазбивкаДохода!H45*$J49*$G49</f>
        <v>825000</v>
      </c>
      <c r="P49" s="67">
        <f>РазбивкаДохода!I45*$J49*$G49</f>
        <v>787500</v>
      </c>
      <c r="Q49" s="129">
        <f t="shared" si="4"/>
        <v>1688449.9999999995</v>
      </c>
      <c r="R49" s="67">
        <f>M49*РазбивкаДохода!J44</f>
        <v>269999.99999999994</v>
      </c>
      <c r="S49" s="67">
        <f>N49*РазбивкаДохода!J45</f>
        <v>624374.99999999988</v>
      </c>
      <c r="T49" s="67">
        <f>O49*РазбивкаДохода!$K44</f>
        <v>274999.99999999994</v>
      </c>
      <c r="U49" s="67">
        <f>P49*РазбивкаДохода!J44</f>
        <v>590624.99999999988</v>
      </c>
      <c r="V49" s="67">
        <f t="shared" si="10"/>
        <v>-71550</v>
      </c>
      <c r="W49" s="67">
        <f>'Скидки и клиентская база'!T50*Нстр.Скидка</f>
        <v>0</v>
      </c>
      <c r="X49" s="67">
        <f>'Скидки и клиентская база'!U50</f>
        <v>-25799.638554216868</v>
      </c>
    </row>
    <row r="50" spans="2:24" x14ac:dyDescent="0.25">
      <c r="B50" s="67">
        <f t="shared" si="11"/>
        <v>44</v>
      </c>
      <c r="C50" s="67">
        <f t="shared" si="12"/>
        <v>10</v>
      </c>
      <c r="D50" s="67">
        <f t="shared" si="8"/>
        <v>2021</v>
      </c>
      <c r="E50" s="122">
        <f>EOMONTH(Настройки!$I$7,'План продаж'!B50)</f>
        <v>44500</v>
      </c>
      <c r="F50" s="67" t="str">
        <f>INDEX(Сезонность!$G$7:$G$18,MATCH(C50,Сезонность!$F$7:$F$18,0),1)</f>
        <v>Осень</v>
      </c>
      <c r="G50" s="134">
        <f>INDEX(Сезонность!$H$6:$H$18,MATCH(C50,Сезонность!$F$6:$F$18,0),1)</f>
        <v>1</v>
      </c>
      <c r="H50" s="67"/>
      <c r="I50" s="67"/>
      <c r="J50" s="67">
        <f t="shared" si="9"/>
        <v>1</v>
      </c>
      <c r="K50" s="229">
        <f>IFERROR(L50/'План продаж.Кол-во'!K51,0)</f>
        <v>36.167052631578947</v>
      </c>
      <c r="L50" s="129">
        <f t="shared" si="3"/>
        <v>3740000</v>
      </c>
      <c r="M50" s="67">
        <f>РазбивкаДохода!F46*$J50*$G50</f>
        <v>480000</v>
      </c>
      <c r="N50" s="67">
        <f>РазбивкаДохода!G46*$J50*$G50</f>
        <v>1110000</v>
      </c>
      <c r="O50" s="67">
        <f>РазбивкаДохода!H46*$J50*$G50</f>
        <v>1100000</v>
      </c>
      <c r="P50" s="67">
        <f>РазбивкаДохода!I46*$J50*$G50</f>
        <v>1050000</v>
      </c>
      <c r="Q50" s="129">
        <f t="shared" si="4"/>
        <v>2251266.666666666</v>
      </c>
      <c r="R50" s="67">
        <f>M50*РазбивкаДохода!J45</f>
        <v>359999.99999999994</v>
      </c>
      <c r="S50" s="67">
        <f>N50*РазбивкаДохода!J46</f>
        <v>832499.99999999988</v>
      </c>
      <c r="T50" s="67">
        <f>O50*РазбивкаДохода!$K45</f>
        <v>366666.66666666657</v>
      </c>
      <c r="U50" s="67">
        <f>P50*РазбивкаДохода!J45</f>
        <v>787499.99999999988</v>
      </c>
      <c r="V50" s="67">
        <f t="shared" si="10"/>
        <v>-95400</v>
      </c>
      <c r="W50" s="67">
        <f>'Скидки и клиентская база'!T51*Нстр.Скидка</f>
        <v>0</v>
      </c>
      <c r="X50" s="67">
        <f>'Скидки и клиентская база'!U51</f>
        <v>-25799.638554216868</v>
      </c>
    </row>
    <row r="51" spans="2:24" x14ac:dyDescent="0.25">
      <c r="B51" s="67">
        <f t="shared" si="11"/>
        <v>45</v>
      </c>
      <c r="C51" s="67">
        <f t="shared" si="12"/>
        <v>11</v>
      </c>
      <c r="D51" s="67">
        <f t="shared" si="8"/>
        <v>2021</v>
      </c>
      <c r="E51" s="122">
        <f>EOMONTH(Настройки!$I$7,'План продаж'!B51)</f>
        <v>44530</v>
      </c>
      <c r="F51" s="67" t="str">
        <f>INDEX(Сезонность!$G$7:$G$18,MATCH(C51,Сезонность!$F$7:$F$18,0),1)</f>
        <v>Осень</v>
      </c>
      <c r="G51" s="134">
        <f>INDEX(Сезонность!$H$6:$H$18,MATCH(C51,Сезонность!$F$6:$F$18,0),1)</f>
        <v>1</v>
      </c>
      <c r="H51" s="67"/>
      <c r="I51" s="67"/>
      <c r="J51" s="67">
        <f t="shared" si="9"/>
        <v>1</v>
      </c>
      <c r="K51" s="229">
        <f>IFERROR(L51/'План продаж.Кол-во'!K52,0)</f>
        <v>36.167052631578947</v>
      </c>
      <c r="L51" s="129">
        <f t="shared" si="3"/>
        <v>3740000</v>
      </c>
      <c r="M51" s="67">
        <f>РазбивкаДохода!F47*$J51*$G51</f>
        <v>480000</v>
      </c>
      <c r="N51" s="67">
        <f>РазбивкаДохода!G47*$J51*$G51</f>
        <v>1110000</v>
      </c>
      <c r="O51" s="67">
        <f>РазбивкаДохода!H47*$J51*$G51</f>
        <v>1100000</v>
      </c>
      <c r="P51" s="67">
        <f>РазбивкаДохода!I47*$J51*$G51</f>
        <v>1050000</v>
      </c>
      <c r="Q51" s="129">
        <f t="shared" si="4"/>
        <v>2251266.666666666</v>
      </c>
      <c r="R51" s="67">
        <f>M51*РазбивкаДохода!J46</f>
        <v>359999.99999999994</v>
      </c>
      <c r="S51" s="67">
        <f>N51*РазбивкаДохода!J47</f>
        <v>832499.99999999988</v>
      </c>
      <c r="T51" s="67">
        <f>O51*РазбивкаДохода!$K46</f>
        <v>366666.66666666657</v>
      </c>
      <c r="U51" s="67">
        <f>P51*РазбивкаДохода!J46</f>
        <v>787499.99999999988</v>
      </c>
      <c r="V51" s="67">
        <f t="shared" si="10"/>
        <v>-95400</v>
      </c>
      <c r="W51" s="67">
        <f>'Скидки и клиентская база'!T52*Нстр.Скидка</f>
        <v>0</v>
      </c>
      <c r="X51" s="67">
        <f>'Скидки и клиентская база'!U52</f>
        <v>-25799.638554216868</v>
      </c>
    </row>
    <row r="52" spans="2:24" x14ac:dyDescent="0.25">
      <c r="B52" s="67">
        <f t="shared" si="11"/>
        <v>46</v>
      </c>
      <c r="C52" s="67">
        <f t="shared" si="12"/>
        <v>12</v>
      </c>
      <c r="D52" s="67">
        <f t="shared" si="8"/>
        <v>2021</v>
      </c>
      <c r="E52" s="122">
        <f>EOMONTH(Настройки!$I$7,'План продаж'!B52)</f>
        <v>44561</v>
      </c>
      <c r="F52" s="67" t="str">
        <f>INDEX(Сезонность!$G$7:$G$18,MATCH(C52,Сезонность!$F$7:$F$18,0),1)</f>
        <v>Зима</v>
      </c>
      <c r="G52" s="134">
        <f>INDEX(Сезонность!$H$6:$H$18,MATCH(C52,Сезонность!$F$6:$F$18,0),1)</f>
        <v>1</v>
      </c>
      <c r="H52" s="67"/>
      <c r="I52" s="67"/>
      <c r="J52" s="67">
        <f t="shared" si="9"/>
        <v>1</v>
      </c>
      <c r="K52" s="229">
        <f>IFERROR(L52/'План продаж.Кол-во'!K53,0)</f>
        <v>36.167052631578947</v>
      </c>
      <c r="L52" s="129">
        <f t="shared" si="3"/>
        <v>3740000</v>
      </c>
      <c r="M52" s="67">
        <f>РазбивкаДохода!F48*$J52*$G52</f>
        <v>480000</v>
      </c>
      <c r="N52" s="67">
        <f>РазбивкаДохода!G48*$J52*$G52</f>
        <v>1110000</v>
      </c>
      <c r="O52" s="67">
        <f>РазбивкаДохода!H48*$J52*$G52</f>
        <v>1100000</v>
      </c>
      <c r="P52" s="67">
        <f>РазбивкаДохода!I48*$J52*$G52</f>
        <v>1050000</v>
      </c>
      <c r="Q52" s="129">
        <f t="shared" si="4"/>
        <v>2251266.666666666</v>
      </c>
      <c r="R52" s="67">
        <f>M52*РазбивкаДохода!J47</f>
        <v>359999.99999999994</v>
      </c>
      <c r="S52" s="67">
        <f>N52*РазбивкаДохода!J48</f>
        <v>832499.99999999988</v>
      </c>
      <c r="T52" s="67">
        <f>O52*РазбивкаДохода!$K47</f>
        <v>366666.66666666657</v>
      </c>
      <c r="U52" s="67">
        <f>P52*РазбивкаДохода!J47</f>
        <v>787499.99999999988</v>
      </c>
      <c r="V52" s="67">
        <f t="shared" si="10"/>
        <v>-95400</v>
      </c>
      <c r="W52" s="67">
        <f>'Скидки и клиентская база'!T53*Нстр.Скидка</f>
        <v>0</v>
      </c>
      <c r="X52" s="67">
        <f>'Скидки и клиентская база'!U53</f>
        <v>-25799.638554216868</v>
      </c>
    </row>
    <row r="53" spans="2:24" x14ac:dyDescent="0.25">
      <c r="B53" s="67">
        <f t="shared" si="11"/>
        <v>47</v>
      </c>
      <c r="C53" s="67">
        <f t="shared" si="12"/>
        <v>1</v>
      </c>
      <c r="D53" s="67">
        <f t="shared" si="8"/>
        <v>2022</v>
      </c>
      <c r="E53" s="122">
        <f>EOMONTH(Настройки!$I$7,'План продаж'!B53)</f>
        <v>44592</v>
      </c>
      <c r="F53" s="67" t="str">
        <f>INDEX(Сезонность!$G$7:$G$18,MATCH(C53,Сезонность!$F$7:$F$18,0),1)</f>
        <v>Зима</v>
      </c>
      <c r="G53" s="134">
        <f>INDEX(Сезонность!$H$6:$H$18,MATCH(C53,Сезонность!$F$6:$F$18,0),1)</f>
        <v>1</v>
      </c>
      <c r="H53" s="67"/>
      <c r="I53" s="67"/>
      <c r="J53" s="67">
        <f t="shared" si="9"/>
        <v>1</v>
      </c>
      <c r="K53" s="229">
        <f>IFERROR(L53/'План продаж.Кол-во'!K54,0)</f>
        <v>36.167052631578947</v>
      </c>
      <c r="L53" s="129">
        <f t="shared" si="3"/>
        <v>3740000</v>
      </c>
      <c r="M53" s="67">
        <f>РазбивкаДохода!F49*$J53*$G53</f>
        <v>480000</v>
      </c>
      <c r="N53" s="67">
        <f>РазбивкаДохода!G49*$J53*$G53</f>
        <v>1110000</v>
      </c>
      <c r="O53" s="67">
        <f>РазбивкаДохода!H49*$J53*$G53</f>
        <v>1100000</v>
      </c>
      <c r="P53" s="67">
        <f>РазбивкаДохода!I49*$J53*$G53</f>
        <v>1050000</v>
      </c>
      <c r="Q53" s="129">
        <f t="shared" si="4"/>
        <v>2251266.666666666</v>
      </c>
      <c r="R53" s="67">
        <f>M53*РазбивкаДохода!J48</f>
        <v>359999.99999999994</v>
      </c>
      <c r="S53" s="67">
        <f>N53*РазбивкаДохода!J49</f>
        <v>832499.99999999988</v>
      </c>
      <c r="T53" s="67">
        <f>O53*РазбивкаДохода!$K48</f>
        <v>366666.66666666657</v>
      </c>
      <c r="U53" s="67">
        <f>P53*РазбивкаДохода!J48</f>
        <v>787499.99999999988</v>
      </c>
      <c r="V53" s="67">
        <f t="shared" si="10"/>
        <v>-95400</v>
      </c>
      <c r="W53" s="67">
        <f>'Скидки и клиентская база'!T54*Нстр.Скидка</f>
        <v>0</v>
      </c>
      <c r="X53" s="67">
        <f>'Скидки и клиентская база'!U54</f>
        <v>-25799.638554216868</v>
      </c>
    </row>
    <row r="54" spans="2:24" x14ac:dyDescent="0.25">
      <c r="B54" s="67">
        <f t="shared" si="11"/>
        <v>48</v>
      </c>
      <c r="C54" s="67">
        <f t="shared" si="12"/>
        <v>2</v>
      </c>
      <c r="D54" s="67">
        <f t="shared" si="8"/>
        <v>2022</v>
      </c>
      <c r="E54" s="122">
        <f>EOMONTH(Настройки!$I$7,'План продаж'!B54)</f>
        <v>44620</v>
      </c>
      <c r="F54" s="67" t="str">
        <f>INDEX(Сезонность!$G$7:$G$18,MATCH(C54,Сезонность!$F$7:$F$18,0),1)</f>
        <v>Зима</v>
      </c>
      <c r="G54" s="134">
        <f>INDEX(Сезонность!$H$6:$H$18,MATCH(C54,Сезонность!$F$6:$F$18,0),1)</f>
        <v>1</v>
      </c>
      <c r="H54" s="67"/>
      <c r="I54" s="67"/>
      <c r="J54" s="67">
        <f t="shared" si="9"/>
        <v>1</v>
      </c>
      <c r="K54" s="229">
        <f>IFERROR(L54/'План продаж.Кол-во'!K55,0)</f>
        <v>36.167052631578947</v>
      </c>
      <c r="L54" s="129">
        <f t="shared" si="3"/>
        <v>3740000</v>
      </c>
      <c r="M54" s="67">
        <f>РазбивкаДохода!F50*$J54*$G54</f>
        <v>480000</v>
      </c>
      <c r="N54" s="67">
        <f>РазбивкаДохода!G50*$J54*$G54</f>
        <v>1110000</v>
      </c>
      <c r="O54" s="67">
        <f>РазбивкаДохода!H50*$J54*$G54</f>
        <v>1100000</v>
      </c>
      <c r="P54" s="67">
        <f>РазбивкаДохода!I50*$J54*$G54</f>
        <v>1050000</v>
      </c>
      <c r="Q54" s="129">
        <f t="shared" si="4"/>
        <v>2251266.666666666</v>
      </c>
      <c r="R54" s="67">
        <f>M54*РазбивкаДохода!J49</f>
        <v>359999.99999999994</v>
      </c>
      <c r="S54" s="67">
        <f>N54*РазбивкаДохода!J50</f>
        <v>832499.99999999988</v>
      </c>
      <c r="T54" s="67">
        <f>O54*РазбивкаДохода!$K49</f>
        <v>366666.66666666657</v>
      </c>
      <c r="U54" s="67">
        <f>P54*РазбивкаДохода!J49</f>
        <v>787499.99999999988</v>
      </c>
      <c r="V54" s="67">
        <f t="shared" si="10"/>
        <v>-95400</v>
      </c>
      <c r="W54" s="67">
        <f>'Скидки и клиентская база'!T55*Нстр.Скидка</f>
        <v>0</v>
      </c>
      <c r="X54" s="67">
        <f>'Скидки и клиентская база'!U55</f>
        <v>-25799.638554216868</v>
      </c>
    </row>
    <row r="55" spans="2:24" x14ac:dyDescent="0.25">
      <c r="B55" s="67">
        <f t="shared" si="11"/>
        <v>49</v>
      </c>
      <c r="C55" s="67">
        <f t="shared" si="12"/>
        <v>3</v>
      </c>
      <c r="D55" s="67">
        <f t="shared" si="8"/>
        <v>2022</v>
      </c>
      <c r="E55" s="122">
        <f>EOMONTH(Настройки!$I$7,'План продаж'!B55)</f>
        <v>44651</v>
      </c>
      <c r="F55" s="67" t="str">
        <f>INDEX(Сезонность!$G$7:$G$18,MATCH(C55,Сезонность!$F$7:$F$18,0),1)</f>
        <v>Весна</v>
      </c>
      <c r="G55" s="134">
        <f>INDEX(Сезонность!$H$6:$H$18,MATCH(C55,Сезонность!$F$6:$F$18,0),1)</f>
        <v>1</v>
      </c>
      <c r="H55" s="67"/>
      <c r="I55" s="67"/>
      <c r="J55" s="67">
        <f t="shared" si="9"/>
        <v>1</v>
      </c>
      <c r="K55" s="229">
        <f>IFERROR(L55/'План продаж.Кол-во'!K56,0)</f>
        <v>36.167052631578947</v>
      </c>
      <c r="L55" s="129">
        <f t="shared" si="3"/>
        <v>3740000</v>
      </c>
      <c r="M55" s="67">
        <f>РазбивкаДохода!F51*$J55*$G55</f>
        <v>480000</v>
      </c>
      <c r="N55" s="67">
        <f>РазбивкаДохода!G51*$J55*$G55</f>
        <v>1110000</v>
      </c>
      <c r="O55" s="67">
        <f>РазбивкаДохода!H51*$J55*$G55</f>
        <v>1100000</v>
      </c>
      <c r="P55" s="67">
        <f>РазбивкаДохода!I51*$J55*$G55</f>
        <v>1050000</v>
      </c>
      <c r="Q55" s="129">
        <f t="shared" si="4"/>
        <v>2251266.666666666</v>
      </c>
      <c r="R55" s="67">
        <f>M55*РазбивкаДохода!J50</f>
        <v>359999.99999999994</v>
      </c>
      <c r="S55" s="67">
        <f>N55*РазбивкаДохода!J51</f>
        <v>832499.99999999988</v>
      </c>
      <c r="T55" s="67">
        <f>O55*РазбивкаДохода!$K50</f>
        <v>366666.66666666657</v>
      </c>
      <c r="U55" s="67">
        <f>P55*РазбивкаДохода!J50</f>
        <v>787499.99999999988</v>
      </c>
      <c r="V55" s="67">
        <f t="shared" si="10"/>
        <v>-95400</v>
      </c>
      <c r="W55" s="67">
        <f>'Скидки и клиентская база'!T56*Нстр.Скидка</f>
        <v>0</v>
      </c>
      <c r="X55" s="67">
        <f>'Скидки и клиентская база'!U56</f>
        <v>-25799.638554216868</v>
      </c>
    </row>
    <row r="56" spans="2:24" x14ac:dyDescent="0.25">
      <c r="B56" s="67">
        <f t="shared" si="11"/>
        <v>50</v>
      </c>
      <c r="C56" s="67">
        <f t="shared" si="12"/>
        <v>4</v>
      </c>
      <c r="D56" s="67">
        <f t="shared" si="8"/>
        <v>2022</v>
      </c>
      <c r="E56" s="122">
        <f>EOMONTH(Настройки!$I$7,'План продаж'!B56)</f>
        <v>44681</v>
      </c>
      <c r="F56" s="67" t="str">
        <f>INDEX(Сезонность!$G$7:$G$18,MATCH(C56,Сезонность!$F$7:$F$18,0),1)</f>
        <v>Весна</v>
      </c>
      <c r="G56" s="134">
        <f>INDEX(Сезонность!$H$6:$H$18,MATCH(C56,Сезонность!$F$6:$F$18,0),1)</f>
        <v>1</v>
      </c>
      <c r="H56" s="67"/>
      <c r="I56" s="67"/>
      <c r="J56" s="67">
        <f t="shared" si="9"/>
        <v>1</v>
      </c>
      <c r="K56" s="229">
        <f>IFERROR(L56/'План продаж.Кол-во'!K57,0)</f>
        <v>36.167052631578947</v>
      </c>
      <c r="L56" s="129">
        <f t="shared" si="3"/>
        <v>3740000</v>
      </c>
      <c r="M56" s="67">
        <f>РазбивкаДохода!F52*$J56*$G56</f>
        <v>480000</v>
      </c>
      <c r="N56" s="67">
        <f>РазбивкаДохода!G52*$J56*$G56</f>
        <v>1110000</v>
      </c>
      <c r="O56" s="67">
        <f>РазбивкаДохода!H52*$J56*$G56</f>
        <v>1100000</v>
      </c>
      <c r="P56" s="67">
        <f>РазбивкаДохода!I52*$J56*$G56</f>
        <v>1050000</v>
      </c>
      <c r="Q56" s="129">
        <f t="shared" si="4"/>
        <v>2251266.666666666</v>
      </c>
      <c r="R56" s="67">
        <f>M56*РазбивкаДохода!J51</f>
        <v>359999.99999999994</v>
      </c>
      <c r="S56" s="67">
        <f>N56*РазбивкаДохода!J52</f>
        <v>832499.99999999988</v>
      </c>
      <c r="T56" s="67">
        <f>O56*РазбивкаДохода!$K51</f>
        <v>366666.66666666657</v>
      </c>
      <c r="U56" s="67">
        <f>P56*РазбивкаДохода!J51</f>
        <v>787499.99999999988</v>
      </c>
      <c r="V56" s="67">
        <f t="shared" si="10"/>
        <v>-95400</v>
      </c>
      <c r="W56" s="67">
        <f>'Скидки и клиентская база'!T57*Нстр.Скидка</f>
        <v>0</v>
      </c>
      <c r="X56" s="67">
        <f>'Скидки и клиентская база'!U57</f>
        <v>-25799.638554216868</v>
      </c>
    </row>
    <row r="57" spans="2:24" x14ac:dyDescent="0.25">
      <c r="B57" s="67">
        <f t="shared" si="11"/>
        <v>51</v>
      </c>
      <c r="C57" s="67">
        <f t="shared" si="12"/>
        <v>5</v>
      </c>
      <c r="D57" s="67">
        <f t="shared" si="8"/>
        <v>2022</v>
      </c>
      <c r="E57" s="122">
        <f>EOMONTH(Настройки!$I$7,'План продаж'!B57)</f>
        <v>44712</v>
      </c>
      <c r="F57" s="67" t="str">
        <f>INDEX(Сезонность!$G$7:$G$18,MATCH(C57,Сезонность!$F$7:$F$18,0),1)</f>
        <v>Весна</v>
      </c>
      <c r="G57" s="134">
        <f>INDEX(Сезонность!$H$6:$H$18,MATCH(C57,Сезонность!$F$6:$F$18,0),1)</f>
        <v>0.75</v>
      </c>
      <c r="H57" s="67"/>
      <c r="I57" s="67"/>
      <c r="J57" s="67">
        <f t="shared" si="9"/>
        <v>1</v>
      </c>
      <c r="K57" s="229">
        <f>IFERROR(L57/'План продаж.Кол-во'!K58,0)</f>
        <v>36.16705263157894</v>
      </c>
      <c r="L57" s="129">
        <f t="shared" si="3"/>
        <v>2805000</v>
      </c>
      <c r="M57" s="67">
        <f>РазбивкаДохода!F53*$J57*$G57</f>
        <v>360000</v>
      </c>
      <c r="N57" s="67">
        <f>РазбивкаДохода!G53*$J57*$G57</f>
        <v>832500</v>
      </c>
      <c r="O57" s="67">
        <f>РазбивкаДохода!H53*$J57*$G57</f>
        <v>825000</v>
      </c>
      <c r="P57" s="67">
        <f>РазбивкаДохода!I53*$J57*$G57</f>
        <v>787500</v>
      </c>
      <c r="Q57" s="129">
        <f t="shared" si="4"/>
        <v>1688449.9999999995</v>
      </c>
      <c r="R57" s="67">
        <f>M57*РазбивкаДохода!J52</f>
        <v>269999.99999999994</v>
      </c>
      <c r="S57" s="67">
        <f>N57*РазбивкаДохода!J53</f>
        <v>624374.99999999988</v>
      </c>
      <c r="T57" s="67">
        <f>O57*РазбивкаДохода!$K52</f>
        <v>274999.99999999994</v>
      </c>
      <c r="U57" s="67">
        <f>P57*РазбивкаДохода!J52</f>
        <v>590624.99999999988</v>
      </c>
      <c r="V57" s="67">
        <f t="shared" si="10"/>
        <v>-71550</v>
      </c>
      <c r="W57" s="67">
        <f>'Скидки и клиентская база'!T58*Нстр.Скидка</f>
        <v>0</v>
      </c>
      <c r="X57" s="67">
        <f>'Скидки и клиентская база'!U58</f>
        <v>-25799.638554216868</v>
      </c>
    </row>
    <row r="58" spans="2:24" x14ac:dyDescent="0.25">
      <c r="B58" s="67">
        <f t="shared" si="11"/>
        <v>52</v>
      </c>
      <c r="C58" s="67">
        <f t="shared" si="12"/>
        <v>6</v>
      </c>
      <c r="D58" s="67">
        <f t="shared" si="8"/>
        <v>2022</v>
      </c>
      <c r="E58" s="122">
        <f>EOMONTH(Настройки!$I$7,'План продаж'!B58)</f>
        <v>44742</v>
      </c>
      <c r="F58" s="67" t="str">
        <f>INDEX(Сезонность!$G$7:$G$18,MATCH(C58,Сезонность!$F$7:$F$18,0),1)</f>
        <v>Лето</v>
      </c>
      <c r="G58" s="134">
        <f>INDEX(Сезонность!$H$6:$H$18,MATCH(C58,Сезонность!$F$6:$F$18,0),1)</f>
        <v>0.75</v>
      </c>
      <c r="H58" s="67"/>
      <c r="I58" s="67"/>
      <c r="J58" s="67">
        <f t="shared" si="9"/>
        <v>1</v>
      </c>
      <c r="K58" s="229">
        <f>IFERROR(L58/'План продаж.Кол-во'!K59,0)</f>
        <v>36.16705263157894</v>
      </c>
      <c r="L58" s="129">
        <f t="shared" si="3"/>
        <v>2805000</v>
      </c>
      <c r="M58" s="67">
        <f>РазбивкаДохода!F54*$J58*$G58</f>
        <v>360000</v>
      </c>
      <c r="N58" s="67">
        <f>РазбивкаДохода!G54*$J58*$G58</f>
        <v>832500</v>
      </c>
      <c r="O58" s="67">
        <f>РазбивкаДохода!H54*$J58*$G58</f>
        <v>825000</v>
      </c>
      <c r="P58" s="67">
        <f>РазбивкаДохода!I54*$J58*$G58</f>
        <v>787500</v>
      </c>
      <c r="Q58" s="129">
        <f t="shared" si="4"/>
        <v>1688449.9999999995</v>
      </c>
      <c r="R58" s="67">
        <f>M58*РазбивкаДохода!J53</f>
        <v>269999.99999999994</v>
      </c>
      <c r="S58" s="67">
        <f>N58*РазбивкаДохода!J54</f>
        <v>624374.99999999988</v>
      </c>
      <c r="T58" s="67">
        <f>O58*РазбивкаДохода!$K53</f>
        <v>274999.99999999994</v>
      </c>
      <c r="U58" s="67">
        <f>P58*РазбивкаДохода!J53</f>
        <v>590624.99999999988</v>
      </c>
      <c r="V58" s="67">
        <f t="shared" si="10"/>
        <v>-71550</v>
      </c>
      <c r="W58" s="67">
        <f>'Скидки и клиентская база'!T59*Нстр.Скидка</f>
        <v>0</v>
      </c>
      <c r="X58" s="67">
        <f>'Скидки и клиентская база'!U59</f>
        <v>-25799.638554216868</v>
      </c>
    </row>
    <row r="59" spans="2:24" x14ac:dyDescent="0.25">
      <c r="B59" s="67">
        <f t="shared" si="11"/>
        <v>53</v>
      </c>
      <c r="C59" s="67">
        <f t="shared" si="12"/>
        <v>7</v>
      </c>
      <c r="D59" s="67">
        <f t="shared" si="8"/>
        <v>2022</v>
      </c>
      <c r="E59" s="122">
        <f>EOMONTH(Настройки!$I$7,'План продаж'!B59)</f>
        <v>44773</v>
      </c>
      <c r="F59" s="67" t="str">
        <f>INDEX(Сезонность!$G$7:$G$18,MATCH(C59,Сезонность!$F$7:$F$18,0),1)</f>
        <v>Лето</v>
      </c>
      <c r="G59" s="134">
        <f>INDEX(Сезонность!$H$6:$H$18,MATCH(C59,Сезонность!$F$6:$F$18,0),1)</f>
        <v>0.75</v>
      </c>
      <c r="H59" s="67"/>
      <c r="I59" s="67"/>
      <c r="J59" s="67">
        <f t="shared" si="9"/>
        <v>1</v>
      </c>
      <c r="K59" s="229">
        <f>IFERROR(L59/'План продаж.Кол-во'!K60,0)</f>
        <v>36.16705263157894</v>
      </c>
      <c r="L59" s="129">
        <f t="shared" si="3"/>
        <v>2805000</v>
      </c>
      <c r="M59" s="67">
        <f>РазбивкаДохода!F55*$J59*$G59</f>
        <v>360000</v>
      </c>
      <c r="N59" s="67">
        <f>РазбивкаДохода!G55*$J59*$G59</f>
        <v>832500</v>
      </c>
      <c r="O59" s="67">
        <f>РазбивкаДохода!H55*$J59*$G59</f>
        <v>825000</v>
      </c>
      <c r="P59" s="67">
        <f>РазбивкаДохода!I55*$J59*$G59</f>
        <v>787500</v>
      </c>
      <c r="Q59" s="129">
        <f t="shared" si="4"/>
        <v>1688449.9999999995</v>
      </c>
      <c r="R59" s="67">
        <f>M59*РазбивкаДохода!J54</f>
        <v>269999.99999999994</v>
      </c>
      <c r="S59" s="67">
        <f>N59*РазбивкаДохода!J55</f>
        <v>624374.99999999988</v>
      </c>
      <c r="T59" s="67">
        <f>O59*РазбивкаДохода!$K54</f>
        <v>274999.99999999994</v>
      </c>
      <c r="U59" s="67">
        <f>P59*РазбивкаДохода!J54</f>
        <v>590624.99999999988</v>
      </c>
      <c r="V59" s="67">
        <f t="shared" si="10"/>
        <v>-71550</v>
      </c>
      <c r="W59" s="67">
        <f>'Скидки и клиентская база'!T60*Нстр.Скидка</f>
        <v>0</v>
      </c>
      <c r="X59" s="67">
        <f>'Скидки и клиентская база'!U60</f>
        <v>-25799.638554216868</v>
      </c>
    </row>
    <row r="60" spans="2:24" x14ac:dyDescent="0.25">
      <c r="B60" s="67">
        <f t="shared" si="11"/>
        <v>54</v>
      </c>
      <c r="C60" s="67">
        <f t="shared" si="12"/>
        <v>8</v>
      </c>
      <c r="D60" s="67">
        <f t="shared" si="8"/>
        <v>2022</v>
      </c>
      <c r="E60" s="122">
        <f>EOMONTH(Настройки!$I$7,'План продаж'!B60)</f>
        <v>44804</v>
      </c>
      <c r="F60" s="67" t="str">
        <f>INDEX(Сезонность!$G$7:$G$18,MATCH(C60,Сезонность!$F$7:$F$18,0),1)</f>
        <v>Лето</v>
      </c>
      <c r="G60" s="134">
        <f>INDEX(Сезонность!$H$6:$H$18,MATCH(C60,Сезонность!$F$6:$F$18,0),1)</f>
        <v>0.75</v>
      </c>
      <c r="H60" s="67"/>
      <c r="I60" s="67"/>
      <c r="J60" s="67">
        <f t="shared" si="9"/>
        <v>1</v>
      </c>
      <c r="K60" s="229">
        <f>IFERROR(L60/'План продаж.Кол-во'!K61,0)</f>
        <v>36.16705263157894</v>
      </c>
      <c r="L60" s="129">
        <f t="shared" si="3"/>
        <v>2805000</v>
      </c>
      <c r="M60" s="67">
        <f>РазбивкаДохода!F56*$J60*$G60</f>
        <v>360000</v>
      </c>
      <c r="N60" s="67">
        <f>РазбивкаДохода!G56*$J60*$G60</f>
        <v>832500</v>
      </c>
      <c r="O60" s="67">
        <f>РазбивкаДохода!H56*$J60*$G60</f>
        <v>825000</v>
      </c>
      <c r="P60" s="67">
        <f>РазбивкаДохода!I56*$J60*$G60</f>
        <v>787500</v>
      </c>
      <c r="Q60" s="129">
        <f t="shared" si="4"/>
        <v>1688449.9999999995</v>
      </c>
      <c r="R60" s="67">
        <f>M60*РазбивкаДохода!J55</f>
        <v>269999.99999999994</v>
      </c>
      <c r="S60" s="67">
        <f>N60*РазбивкаДохода!J56</f>
        <v>624374.99999999988</v>
      </c>
      <c r="T60" s="67">
        <f>O60*РазбивкаДохода!$K55</f>
        <v>274999.99999999994</v>
      </c>
      <c r="U60" s="67">
        <f>P60*РазбивкаДохода!J55</f>
        <v>590624.99999999988</v>
      </c>
      <c r="V60" s="67">
        <f t="shared" si="10"/>
        <v>-71550</v>
      </c>
      <c r="W60" s="67">
        <f>'Скидки и клиентская база'!T61*Нстр.Скидка</f>
        <v>0</v>
      </c>
      <c r="X60" s="67">
        <f>'Скидки и клиентская база'!U61</f>
        <v>-25799.638554216868</v>
      </c>
    </row>
    <row r="61" spans="2:24" x14ac:dyDescent="0.25">
      <c r="B61" s="67">
        <f t="shared" si="11"/>
        <v>55</v>
      </c>
      <c r="C61" s="67">
        <f t="shared" si="12"/>
        <v>9</v>
      </c>
      <c r="D61" s="67">
        <f t="shared" si="8"/>
        <v>2022</v>
      </c>
      <c r="E61" s="122">
        <f>EOMONTH(Настройки!$I$7,'План продаж'!B61)</f>
        <v>44834</v>
      </c>
      <c r="F61" s="67" t="str">
        <f>INDEX(Сезонность!$G$7:$G$18,MATCH(C61,Сезонность!$F$7:$F$18,0),1)</f>
        <v>Осень</v>
      </c>
      <c r="G61" s="134">
        <f>INDEX(Сезонность!$H$6:$H$18,MATCH(C61,Сезонность!$F$6:$F$18,0),1)</f>
        <v>0.75</v>
      </c>
      <c r="H61" s="67"/>
      <c r="I61" s="67"/>
      <c r="J61" s="67">
        <f t="shared" si="9"/>
        <v>1</v>
      </c>
      <c r="K61" s="229">
        <f>IFERROR(L61/'План продаж.Кол-во'!K62,0)</f>
        <v>36.16705263157894</v>
      </c>
      <c r="L61" s="129">
        <f t="shared" si="3"/>
        <v>2805000</v>
      </c>
      <c r="M61" s="67">
        <f>РазбивкаДохода!F57*$J61*$G61</f>
        <v>360000</v>
      </c>
      <c r="N61" s="67">
        <f>РазбивкаДохода!G57*$J61*$G61</f>
        <v>832500</v>
      </c>
      <c r="O61" s="67">
        <f>РазбивкаДохода!H57*$J61*$G61</f>
        <v>825000</v>
      </c>
      <c r="P61" s="67">
        <f>РазбивкаДохода!I57*$J61*$G61</f>
        <v>787500</v>
      </c>
      <c r="Q61" s="129">
        <f t="shared" si="4"/>
        <v>1688449.9999999995</v>
      </c>
      <c r="R61" s="67">
        <f>M61*РазбивкаДохода!J56</f>
        <v>269999.99999999994</v>
      </c>
      <c r="S61" s="67">
        <f>N61*РазбивкаДохода!J57</f>
        <v>624374.99999999988</v>
      </c>
      <c r="T61" s="67">
        <f>O61*РазбивкаДохода!$K56</f>
        <v>274999.99999999994</v>
      </c>
      <c r="U61" s="67">
        <f>P61*РазбивкаДохода!J56</f>
        <v>590624.99999999988</v>
      </c>
      <c r="V61" s="67">
        <f t="shared" si="10"/>
        <v>-71550</v>
      </c>
      <c r="W61" s="67">
        <f>'Скидки и клиентская база'!T62*Нстр.Скидка</f>
        <v>0</v>
      </c>
      <c r="X61" s="67">
        <f>'Скидки и клиентская база'!U62</f>
        <v>-25799.638554216868</v>
      </c>
    </row>
    <row r="62" spans="2:24" x14ac:dyDescent="0.25">
      <c r="B62" s="67">
        <f t="shared" si="11"/>
        <v>56</v>
      </c>
      <c r="C62" s="67">
        <f t="shared" si="12"/>
        <v>10</v>
      </c>
      <c r="D62" s="67">
        <f t="shared" si="8"/>
        <v>2022</v>
      </c>
      <c r="E62" s="122">
        <f>EOMONTH(Настройки!$I$7,'План продаж'!B62)</f>
        <v>44865</v>
      </c>
      <c r="F62" s="67" t="str">
        <f>INDEX(Сезонность!$G$7:$G$18,MATCH(C62,Сезонность!$F$7:$F$18,0),1)</f>
        <v>Осень</v>
      </c>
      <c r="G62" s="134">
        <f>INDEX(Сезонность!$H$6:$H$18,MATCH(C62,Сезонность!$F$6:$F$18,0),1)</f>
        <v>1</v>
      </c>
      <c r="H62" s="67"/>
      <c r="I62" s="67"/>
      <c r="J62" s="67">
        <f t="shared" si="9"/>
        <v>1</v>
      </c>
      <c r="K62" s="229">
        <f>IFERROR(L62/'План продаж.Кол-во'!K63,0)</f>
        <v>36.167052631578947</v>
      </c>
      <c r="L62" s="129">
        <f t="shared" si="3"/>
        <v>3740000</v>
      </c>
      <c r="M62" s="67">
        <f>РазбивкаДохода!F58*$J62*$G62</f>
        <v>480000</v>
      </c>
      <c r="N62" s="67">
        <f>РазбивкаДохода!G58*$J62*$G62</f>
        <v>1110000</v>
      </c>
      <c r="O62" s="67">
        <f>РазбивкаДохода!H58*$J62*$G62</f>
        <v>1100000</v>
      </c>
      <c r="P62" s="67">
        <f>РазбивкаДохода!I58*$J62*$G62</f>
        <v>1050000</v>
      </c>
      <c r="Q62" s="129">
        <f t="shared" si="4"/>
        <v>2251266.666666666</v>
      </c>
      <c r="R62" s="67">
        <f>M62*РазбивкаДохода!J57</f>
        <v>359999.99999999994</v>
      </c>
      <c r="S62" s="67">
        <f>N62*РазбивкаДохода!J58</f>
        <v>832499.99999999988</v>
      </c>
      <c r="T62" s="67">
        <f>O62*РазбивкаДохода!$K57</f>
        <v>366666.66666666657</v>
      </c>
      <c r="U62" s="67">
        <f>P62*РазбивкаДохода!J57</f>
        <v>787499.99999999988</v>
      </c>
      <c r="V62" s="67">
        <f t="shared" si="10"/>
        <v>-95400</v>
      </c>
      <c r="W62" s="67">
        <f>'Скидки и клиентская база'!T63*Нстр.Скидка</f>
        <v>0</v>
      </c>
      <c r="X62" s="67">
        <f>'Скидки и клиентская база'!U63</f>
        <v>-25799.638554216868</v>
      </c>
    </row>
    <row r="63" spans="2:24" x14ac:dyDescent="0.25">
      <c r="B63" s="67">
        <f t="shared" si="11"/>
        <v>57</v>
      </c>
      <c r="C63" s="67">
        <f t="shared" si="12"/>
        <v>11</v>
      </c>
      <c r="D63" s="67">
        <f t="shared" si="8"/>
        <v>2022</v>
      </c>
      <c r="E63" s="122">
        <f>EOMONTH(Настройки!$I$7,'План продаж'!B63)</f>
        <v>44895</v>
      </c>
      <c r="F63" s="67" t="str">
        <f>INDEX(Сезонность!$G$7:$G$18,MATCH(C63,Сезонность!$F$7:$F$18,0),1)</f>
        <v>Осень</v>
      </c>
      <c r="G63" s="134">
        <f>INDEX(Сезонность!$H$6:$H$18,MATCH(C63,Сезонность!$F$6:$F$18,0),1)</f>
        <v>1</v>
      </c>
      <c r="H63" s="67"/>
      <c r="I63" s="67"/>
      <c r="J63" s="67">
        <f t="shared" si="9"/>
        <v>1</v>
      </c>
      <c r="K63" s="229">
        <f>IFERROR(L63/'План продаж.Кол-во'!K64,0)</f>
        <v>36.167052631578947</v>
      </c>
      <c r="L63" s="129">
        <f t="shared" si="3"/>
        <v>3740000</v>
      </c>
      <c r="M63" s="67">
        <f>РазбивкаДохода!F59*$J63*$G63</f>
        <v>480000</v>
      </c>
      <c r="N63" s="67">
        <f>РазбивкаДохода!G59*$J63*$G63</f>
        <v>1110000</v>
      </c>
      <c r="O63" s="67">
        <f>РазбивкаДохода!H59*$J63*$G63</f>
        <v>1100000</v>
      </c>
      <c r="P63" s="67">
        <f>РазбивкаДохода!I59*$J63*$G63</f>
        <v>1050000</v>
      </c>
      <c r="Q63" s="129">
        <f t="shared" si="4"/>
        <v>2251266.666666666</v>
      </c>
      <c r="R63" s="67">
        <f>M63*РазбивкаДохода!J58</f>
        <v>359999.99999999994</v>
      </c>
      <c r="S63" s="67">
        <f>N63*РазбивкаДохода!J59</f>
        <v>832499.99999999988</v>
      </c>
      <c r="T63" s="67">
        <f>O63*РазбивкаДохода!$K58</f>
        <v>366666.66666666657</v>
      </c>
      <c r="U63" s="67">
        <f>P63*РазбивкаДохода!J58</f>
        <v>787499.99999999988</v>
      </c>
      <c r="V63" s="67">
        <f t="shared" si="10"/>
        <v>-95400</v>
      </c>
      <c r="W63" s="67">
        <f>'Скидки и клиентская база'!T64*Нстр.Скидка</f>
        <v>0</v>
      </c>
      <c r="X63" s="67">
        <f>'Скидки и клиентская база'!U64</f>
        <v>-25799.638554216868</v>
      </c>
    </row>
    <row r="64" spans="2:24" x14ac:dyDescent="0.25">
      <c r="B64" s="67">
        <f t="shared" si="11"/>
        <v>58</v>
      </c>
      <c r="C64" s="67">
        <f t="shared" si="12"/>
        <v>12</v>
      </c>
      <c r="D64" s="67">
        <f t="shared" si="8"/>
        <v>2022</v>
      </c>
      <c r="E64" s="122">
        <f>EOMONTH(Настройки!$I$7,'План продаж'!B64)</f>
        <v>44926</v>
      </c>
      <c r="F64" s="67" t="str">
        <f>INDEX(Сезонность!$G$7:$G$18,MATCH(C64,Сезонность!$F$7:$F$18,0),1)</f>
        <v>Зима</v>
      </c>
      <c r="G64" s="134">
        <f>INDEX(Сезонность!$H$6:$H$18,MATCH(C64,Сезонность!$F$6:$F$18,0),1)</f>
        <v>1</v>
      </c>
      <c r="H64" s="67"/>
      <c r="I64" s="67"/>
      <c r="J64" s="67">
        <f t="shared" si="9"/>
        <v>1</v>
      </c>
      <c r="K64" s="229">
        <f>IFERROR(L64/'План продаж.Кол-во'!K65,0)</f>
        <v>36.167052631578947</v>
      </c>
      <c r="L64" s="129">
        <f t="shared" si="3"/>
        <v>3740000</v>
      </c>
      <c r="M64" s="67">
        <f>РазбивкаДохода!F60*$J64*$G64</f>
        <v>480000</v>
      </c>
      <c r="N64" s="67">
        <f>РазбивкаДохода!G60*$J64*$G64</f>
        <v>1110000</v>
      </c>
      <c r="O64" s="67">
        <f>РазбивкаДохода!H60*$J64*$G64</f>
        <v>1100000</v>
      </c>
      <c r="P64" s="67">
        <f>РазбивкаДохода!I60*$J64*$G64</f>
        <v>1050000</v>
      </c>
      <c r="Q64" s="129">
        <f t="shared" si="4"/>
        <v>2251266.666666666</v>
      </c>
      <c r="R64" s="67">
        <f>M64*РазбивкаДохода!J59</f>
        <v>359999.99999999994</v>
      </c>
      <c r="S64" s="67">
        <f>N64*РазбивкаДохода!J60</f>
        <v>832499.99999999988</v>
      </c>
      <c r="T64" s="67">
        <f>O64*РазбивкаДохода!$K59</f>
        <v>366666.66666666657</v>
      </c>
      <c r="U64" s="67">
        <f>P64*РазбивкаДохода!J59</f>
        <v>787499.99999999988</v>
      </c>
      <c r="V64" s="67">
        <f t="shared" si="10"/>
        <v>-95400</v>
      </c>
      <c r="W64" s="67">
        <f>'Скидки и клиентская база'!T65*Нстр.Скидка</f>
        <v>0</v>
      </c>
      <c r="X64" s="67">
        <f>'Скидки и клиентская база'!U65</f>
        <v>-25799.638554216868</v>
      </c>
    </row>
    <row r="65" spans="2:24" x14ac:dyDescent="0.25">
      <c r="B65" s="67">
        <f t="shared" si="11"/>
        <v>59</v>
      </c>
      <c r="C65" s="67">
        <f t="shared" si="12"/>
        <v>1</v>
      </c>
      <c r="D65" s="67">
        <f t="shared" si="8"/>
        <v>2023</v>
      </c>
      <c r="E65" s="122">
        <f>EOMONTH(Настройки!$I$7,'План продаж'!B65)</f>
        <v>44957</v>
      </c>
      <c r="F65" s="67" t="str">
        <f>INDEX(Сезонность!$G$7:$G$18,MATCH(C65,Сезонность!$F$7:$F$18,0),1)</f>
        <v>Зима</v>
      </c>
      <c r="G65" s="134">
        <f>INDEX(Сезонность!$H$6:$H$18,MATCH(C65,Сезонность!$F$6:$F$18,0),1)</f>
        <v>1</v>
      </c>
      <c r="H65" s="67"/>
      <c r="I65" s="67"/>
      <c r="J65" s="67">
        <f t="shared" si="9"/>
        <v>1</v>
      </c>
      <c r="K65" s="229">
        <f>IFERROR(L65/'План продаж.Кол-во'!K66,0)</f>
        <v>36.167052631578947</v>
      </c>
      <c r="L65" s="129">
        <f t="shared" si="3"/>
        <v>3740000</v>
      </c>
      <c r="M65" s="67">
        <f>РазбивкаДохода!F61*$J65*$G65</f>
        <v>480000</v>
      </c>
      <c r="N65" s="67">
        <f>РазбивкаДохода!G61*$J65*$G65</f>
        <v>1110000</v>
      </c>
      <c r="O65" s="67">
        <f>РазбивкаДохода!H61*$J65*$G65</f>
        <v>1100000</v>
      </c>
      <c r="P65" s="67">
        <f>РазбивкаДохода!I61*$J65*$G65</f>
        <v>1050000</v>
      </c>
      <c r="Q65" s="129">
        <f t="shared" si="4"/>
        <v>2251266.666666666</v>
      </c>
      <c r="R65" s="67">
        <f>M65*РазбивкаДохода!J60</f>
        <v>359999.99999999994</v>
      </c>
      <c r="S65" s="67">
        <f>N65*РазбивкаДохода!J61</f>
        <v>832499.99999999988</v>
      </c>
      <c r="T65" s="67">
        <f>O65*РазбивкаДохода!$K60</f>
        <v>366666.66666666657</v>
      </c>
      <c r="U65" s="67">
        <f>P65*РазбивкаДохода!J60</f>
        <v>787499.99999999988</v>
      </c>
      <c r="V65" s="67">
        <f t="shared" si="10"/>
        <v>-95400</v>
      </c>
      <c r="W65" s="67">
        <f>'Скидки и клиентская база'!T66*Нстр.Скидка</f>
        <v>0</v>
      </c>
      <c r="X65" s="67">
        <f>'Скидки и клиентская база'!U66</f>
        <v>-25799.638554216868</v>
      </c>
    </row>
    <row r="66" spans="2:24" x14ac:dyDescent="0.25">
      <c r="B66" s="67">
        <f t="shared" si="11"/>
        <v>60</v>
      </c>
      <c r="C66" s="67">
        <f t="shared" si="12"/>
        <v>2</v>
      </c>
      <c r="D66" s="67">
        <f t="shared" si="8"/>
        <v>2023</v>
      </c>
      <c r="E66" s="122">
        <f>EOMONTH(Настройки!$I$7,'План продаж'!B66)</f>
        <v>44985</v>
      </c>
      <c r="F66" s="67" t="str">
        <f>INDEX(Сезонность!$G$7:$G$18,MATCH(C66,Сезонность!$F$7:$F$18,0),1)</f>
        <v>Зима</v>
      </c>
      <c r="G66" s="134">
        <f>INDEX(Сезонность!$H$6:$H$18,MATCH(C66,Сезонность!$F$6:$F$18,0),1)</f>
        <v>1</v>
      </c>
      <c r="H66" s="67"/>
      <c r="I66" s="67"/>
      <c r="J66" s="67">
        <f t="shared" si="9"/>
        <v>1</v>
      </c>
      <c r="K66" s="229">
        <f>IFERROR(L66/'План продаж.Кол-во'!K67,0)</f>
        <v>36.167052631578947</v>
      </c>
      <c r="L66" s="129">
        <f t="shared" si="3"/>
        <v>3740000</v>
      </c>
      <c r="M66" s="67">
        <f>РазбивкаДохода!F62*$J66*$G66</f>
        <v>480000</v>
      </c>
      <c r="N66" s="67">
        <f>РазбивкаДохода!G62*$J66*$G66</f>
        <v>1110000</v>
      </c>
      <c r="O66" s="67">
        <f>РазбивкаДохода!H62*$J66*$G66</f>
        <v>1100000</v>
      </c>
      <c r="P66" s="67">
        <f>РазбивкаДохода!I62*$J66*$G66</f>
        <v>1050000</v>
      </c>
      <c r="Q66" s="129">
        <f t="shared" si="4"/>
        <v>2251266.666666666</v>
      </c>
      <c r="R66" s="67">
        <f>M66*РазбивкаДохода!J61</f>
        <v>359999.99999999994</v>
      </c>
      <c r="S66" s="67">
        <f>N66*РазбивкаДохода!J62</f>
        <v>832499.99999999988</v>
      </c>
      <c r="T66" s="67">
        <f>O66*РазбивкаДохода!$K61</f>
        <v>366666.66666666657</v>
      </c>
      <c r="U66" s="67">
        <f>P66*РазбивкаДохода!J61</f>
        <v>787499.99999999988</v>
      </c>
      <c r="V66" s="67">
        <f t="shared" si="10"/>
        <v>-95400</v>
      </c>
      <c r="W66" s="67">
        <f>'Скидки и клиентская база'!T67*Нстр.Скидка</f>
        <v>0</v>
      </c>
      <c r="X66" s="67">
        <f>'Скидки и клиентская база'!U67</f>
        <v>-25799.638554216868</v>
      </c>
    </row>
  </sheetData>
  <mergeCells count="5">
    <mergeCell ref="B4:F4"/>
    <mergeCell ref="H4:J4"/>
    <mergeCell ref="W4:X4"/>
    <mergeCell ref="L4:O4"/>
    <mergeCell ref="Q4:V4"/>
  </mergeCell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Z28"/>
  <sheetViews>
    <sheetView workbookViewId="0">
      <selection activeCell="C4" sqref="C4"/>
    </sheetView>
  </sheetViews>
  <sheetFormatPr defaultRowHeight="15" x14ac:dyDescent="0.25"/>
  <cols>
    <col min="1" max="1" width="9.140625" style="1"/>
    <col min="2" max="2" width="26" style="1" customWidth="1"/>
    <col min="3" max="3" width="18.28515625" style="1" customWidth="1"/>
    <col min="4" max="4" width="12.85546875" style="1" bestFit="1" customWidth="1"/>
    <col min="5" max="8" width="13.42578125" style="1" bestFit="1" customWidth="1"/>
    <col min="9" max="16384" width="9.140625" style="1"/>
  </cols>
  <sheetData>
    <row r="1" spans="2:26" ht="21" x14ac:dyDescent="0.35">
      <c r="B1" s="43" t="s">
        <v>232</v>
      </c>
    </row>
    <row r="2" spans="2:26" ht="13.5" customHeight="1" x14ac:dyDescent="0.3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4" spans="2:26" x14ac:dyDescent="0.25">
      <c r="B4" s="1" t="s">
        <v>222</v>
      </c>
      <c r="C4" s="152" t="s">
        <v>223</v>
      </c>
    </row>
    <row r="5" spans="2:26" ht="15.75" thickBot="1" x14ac:dyDescent="0.3"/>
    <row r="6" spans="2:26" ht="16.5" thickTop="1" thickBot="1" x14ac:dyDescent="0.3">
      <c r="C6" s="140">
        <f>YEAR(ДатаНачала)</f>
        <v>2018</v>
      </c>
      <c r="D6" s="140">
        <f>C6+1</f>
        <v>2019</v>
      </c>
      <c r="E6" s="140">
        <f t="shared" ref="E6:H6" si="0">D6+1</f>
        <v>2020</v>
      </c>
      <c r="F6" s="140">
        <f t="shared" si="0"/>
        <v>2021</v>
      </c>
      <c r="G6" s="140">
        <f t="shared" si="0"/>
        <v>2022</v>
      </c>
      <c r="H6" s="140">
        <f t="shared" si="0"/>
        <v>2023</v>
      </c>
    </row>
    <row r="7" spans="2:26" ht="15.75" thickTop="1" x14ac:dyDescent="0.25">
      <c r="B7" s="1" t="s">
        <v>227</v>
      </c>
      <c r="C7" s="79">
        <f>COUNTIFS('План продаж'!$D$5:$D$66,Прибыль!C$6)</f>
        <v>11</v>
      </c>
      <c r="D7" s="79">
        <f>COUNTIFS('План продаж'!$D$5:$D$66,Прибыль!D$6)</f>
        <v>12</v>
      </c>
      <c r="E7" s="79">
        <f>COUNTIFS('План продаж'!$D$5:$D$66,Прибыль!E$6)</f>
        <v>12</v>
      </c>
      <c r="F7" s="79">
        <f>COUNTIFS('План продаж'!$D$5:$D$66,Прибыль!F$6)</f>
        <v>12</v>
      </c>
      <c r="G7" s="79">
        <f>COUNTIFS('План продаж'!$D$5:$D$66,Прибыль!G$6)</f>
        <v>12</v>
      </c>
      <c r="H7" s="79">
        <f>COUNTIFS('План продаж'!$D$5:$D$66,Прибыль!H$6)</f>
        <v>2</v>
      </c>
    </row>
    <row r="8" spans="2:26" x14ac:dyDescent="0.25">
      <c r="B8" s="1" t="s">
        <v>228</v>
      </c>
      <c r="C8" s="79">
        <f>INDEX('План продаж'!$B:$B,MATCH(EOMONTH(DATE(C$6,12,31),0),'План продаж'!$E:$E,0),1)</f>
        <v>10</v>
      </c>
      <c r="D8" s="79">
        <f>INDEX('План продаж'!$B:$B,MATCH(EOMONTH(DATE(D$6,D$7,1),0),'План продаж'!$E:$E,0),1)</f>
        <v>22</v>
      </c>
      <c r="E8" s="79">
        <f>INDEX('План продаж'!$B:$B,MATCH(EOMONTH(DATE(E$6,E$7,1),0),'План продаж'!$E:$E,0),1)</f>
        <v>34</v>
      </c>
      <c r="F8" s="79">
        <f>INDEX('План продаж'!$B:$B,MATCH(EOMONTH(DATE(F$6,F$7,1),0),'План продаж'!$E:$E,0),1)</f>
        <v>46</v>
      </c>
      <c r="G8" s="79">
        <f>INDEX('План продаж'!$B:$B,MATCH(EOMONTH(DATE(G$6,G$7,1),0),'План продаж'!$E:$E,0),1)</f>
        <v>58</v>
      </c>
      <c r="H8" s="79">
        <f>INDEX('План продаж'!$B:$B,MATCH(EOMONTH(DATE(H$6,H$7,1),0),'План продаж'!$E:$E,0),1)</f>
        <v>60</v>
      </c>
    </row>
    <row r="9" spans="2:26" x14ac:dyDescent="0.25">
      <c r="C9" s="79"/>
      <c r="D9" s="79"/>
      <c r="E9" s="79"/>
      <c r="F9" s="79"/>
      <c r="G9" s="79"/>
      <c r="H9" s="79"/>
    </row>
    <row r="10" spans="2:26" x14ac:dyDescent="0.25">
      <c r="B10" s="67" t="s">
        <v>167</v>
      </c>
      <c r="C10" s="67">
        <f>IFERROR(SUMIFS(Расчёт.ПрибылиПоПодразделениям!$F:$F,Расчёт.ПрибылиПоПодразделениям!$D:$D,Прибыль!C$6),0)</f>
        <v>19871000</v>
      </c>
      <c r="D10" s="67">
        <f>IFERROR(SUMIFS(Расчёт.ПрибылиПоПодразделениям!$F:$F,Расчёт.ПрибылиПоПодразделениям!$D:$D,Прибыль!D$6),0)</f>
        <v>37429000</v>
      </c>
      <c r="E10" s="67">
        <f>IFERROR(SUMIFS(Расчёт.ПрибылиПоПодразделениям!$F:$F,Расчёт.ПрибылиПоПодразделениям!$D:$D,Прибыль!E$6),0)</f>
        <v>40205000</v>
      </c>
      <c r="F10" s="67">
        <f>IFERROR(SUMIFS(Расчёт.ПрибылиПоПодразделениям!$F:$F,Расчёт.ПрибылиПоПодразделениям!$D:$D,Прибыль!F$6),0)</f>
        <v>40205000</v>
      </c>
      <c r="G10" s="67">
        <f>IFERROR(SUMIFS(Расчёт.ПрибылиПоПодразделениям!$F:$F,Расчёт.ПрибылиПоПодразделениям!$D:$D,Прибыль!G$6),0)</f>
        <v>40205000</v>
      </c>
      <c r="H10" s="67">
        <f>IFERROR(SUMIFS(Расчёт.ПрибылиПоПодразделениям!$F:$F,Расчёт.ПрибылиПоПодразделениям!$D:$D,Прибыль!H$6),0)</f>
        <v>7480000</v>
      </c>
    </row>
    <row r="11" spans="2:26" x14ac:dyDescent="0.25">
      <c r="B11" s="67" t="s">
        <v>220</v>
      </c>
      <c r="C11" s="67">
        <f>C17-C10</f>
        <v>-7063108.3333333358</v>
      </c>
      <c r="D11" s="67">
        <f>D17-D10</f>
        <v>-14503216.666666672</v>
      </c>
      <c r="E11" s="67">
        <f t="shared" ref="E11:H11" si="1">E17-E10</f>
        <v>-16003883.333333343</v>
      </c>
      <c r="F11" s="67">
        <f t="shared" si="1"/>
        <v>-16003883.333333343</v>
      </c>
      <c r="G11" s="67">
        <f t="shared" si="1"/>
        <v>-16003883.333333343</v>
      </c>
      <c r="H11" s="67">
        <f t="shared" si="1"/>
        <v>-2977466.6666666679</v>
      </c>
    </row>
    <row r="12" spans="2:26" hidden="1" x14ac:dyDescent="0.25">
      <c r="B12" s="1" t="s">
        <v>225</v>
      </c>
      <c r="C12" s="66"/>
      <c r="D12" s="66"/>
      <c r="E12" s="66"/>
      <c r="F12" s="66"/>
      <c r="G12" s="66"/>
      <c r="H12" s="66"/>
    </row>
    <row r="13" spans="2:26" hidden="1" x14ac:dyDescent="0.25">
      <c r="B13" s="157" t="s">
        <v>62</v>
      </c>
      <c r="C13" s="67">
        <f>-'Услуги и цены'!$C$4*C10</f>
        <v>-5961300</v>
      </c>
      <c r="D13" s="67">
        <f>-'Услуги и цены'!$C$4*D10</f>
        <v>-11228700</v>
      </c>
      <c r="E13" s="67">
        <f>-'Услуги и цены'!$C$4*E10</f>
        <v>-12061500</v>
      </c>
      <c r="F13" s="67">
        <f>-'Услуги и цены'!$C$4*F10</f>
        <v>-12061500</v>
      </c>
      <c r="G13" s="67">
        <f>-'Услуги и цены'!$C$4*G10</f>
        <v>-12061500</v>
      </c>
      <c r="H13" s="67">
        <f>-'Услуги и цены'!$C$4*H10</f>
        <v>-2244000</v>
      </c>
    </row>
    <row r="14" spans="2:26" hidden="1" x14ac:dyDescent="0.25">
      <c r="B14" s="157" t="s">
        <v>221</v>
      </c>
      <c r="C14" s="67">
        <f>-0.06*C$10</f>
        <v>-1192260</v>
      </c>
      <c r="D14" s="67">
        <f t="shared" ref="D14:H14" si="2">-0.06*D$10</f>
        <v>-2245740</v>
      </c>
      <c r="E14" s="67">
        <f t="shared" si="2"/>
        <v>-2412300</v>
      </c>
      <c r="F14" s="67">
        <f t="shared" si="2"/>
        <v>-2412300</v>
      </c>
      <c r="G14" s="67">
        <f t="shared" si="2"/>
        <v>-2412300</v>
      </c>
      <c r="H14" s="67">
        <f t="shared" si="2"/>
        <v>-448800</v>
      </c>
    </row>
    <row r="15" spans="2:26" hidden="1" x14ac:dyDescent="0.25">
      <c r="B15" s="157" t="s">
        <v>226</v>
      </c>
      <c r="C15" s="67">
        <f t="shared" ref="C15:H15" si="3">C11-C13-C14</f>
        <v>90451.666666664183</v>
      </c>
      <c r="D15" s="67">
        <f t="shared" si="3"/>
        <v>-1028776.6666666716</v>
      </c>
      <c r="E15" s="67">
        <f t="shared" si="3"/>
        <v>-1530083.3333333433</v>
      </c>
      <c r="F15" s="67">
        <f t="shared" si="3"/>
        <v>-1530083.3333333433</v>
      </c>
      <c r="G15" s="67">
        <f t="shared" si="3"/>
        <v>-1530083.3333333433</v>
      </c>
      <c r="H15" s="67">
        <f t="shared" si="3"/>
        <v>-284666.66666666791</v>
      </c>
    </row>
    <row r="17" spans="2:8" x14ac:dyDescent="0.25">
      <c r="B17" s="67" t="s">
        <v>60</v>
      </c>
      <c r="C17" s="67">
        <f>IFERROR(SUMIFS(Расчёт.ПрибылиПоПодразделениям!$H:$H,Расчёт.ПрибылиПоПодразделениям!$D:$D,Прибыль!C$6),0)</f>
        <v>12807891.666666664</v>
      </c>
      <c r="D17" s="67">
        <f>IFERROR(SUMIFS(Расчёт.ПрибылиПоПодразделениям!$H:$H,Расчёт.ПрибылиПоПодразделениям!$D:$D,Прибыль!D$6),0)</f>
        <v>22925783.333333328</v>
      </c>
      <c r="E17" s="67">
        <f>IFERROR(SUMIFS(Расчёт.ПрибылиПоПодразделениям!$H:$H,Расчёт.ПрибылиПоПодразделениям!$D:$D,Прибыль!E$6),0)</f>
        <v>24201116.666666657</v>
      </c>
      <c r="F17" s="67">
        <f>IFERROR(SUMIFS(Расчёт.ПрибылиПоПодразделениям!$H:$H,Расчёт.ПрибылиПоПодразделениям!$D:$D,Прибыль!F$6),0)</f>
        <v>24201116.666666657</v>
      </c>
      <c r="G17" s="67">
        <f>IFERROR(SUMIFS(Расчёт.ПрибылиПоПодразделениям!$H:$H,Расчёт.ПрибылиПоПодразделениям!$D:$D,Прибыль!G$6),0)</f>
        <v>24201116.666666657</v>
      </c>
      <c r="H17" s="67">
        <f>IFERROR(SUMIFS(Расчёт.ПрибылиПоПодразделениям!$H:$H,Расчёт.ПрибылиПоПодразделениям!$D:$D,Прибыль!H$6),0)</f>
        <v>4502533.3333333321</v>
      </c>
    </row>
    <row r="18" spans="2:8" x14ac:dyDescent="0.25">
      <c r="B18" s="207" t="s">
        <v>169</v>
      </c>
      <c r="C18" s="67">
        <f>SUMIFS(Расчёт.ПрибылиПоПодразделениям!$I:$I,Расчёт.ПрибылиПоПодразделениям!$D:$D,Прибыль!C$6)</f>
        <v>-5600000</v>
      </c>
      <c r="D18" s="67">
        <f>SUMIFS(Расчёт.ПрибылиПоПодразделениям!$I:$I,Расчёт.ПрибылиПоПодразделениям!$D:$D,Прибыль!D$6)</f>
        <v>-6720000</v>
      </c>
      <c r="E18" s="67">
        <f>SUMIFS(Расчёт.ПрибылиПоПодразделениям!$I:$I,Расчёт.ПрибылиПоПодразделениям!$D:$D,Прибыль!E$6)</f>
        <v>-6720000</v>
      </c>
      <c r="F18" s="67">
        <f>SUMIFS(Расчёт.ПрибылиПоПодразделениям!$I:$I,Расчёт.ПрибылиПоПодразделениям!$D:$D,Прибыль!F$6)</f>
        <v>-6720000</v>
      </c>
      <c r="G18" s="67">
        <f>SUMIFS(Расчёт.ПрибылиПоПодразделениям!$I:$I,Расчёт.ПрибылиПоПодразделениям!$D:$D,Прибыль!G$6)</f>
        <v>-6720000</v>
      </c>
      <c r="H18" s="67">
        <f>SUMIFS(Расчёт.ПрибылиПоПодразделениям!$I:$I,Расчёт.ПрибылиПоПодразделениям!$D:$D,Прибыль!H$6)</f>
        <v>-1120000</v>
      </c>
    </row>
    <row r="19" spans="2:8" x14ac:dyDescent="0.25">
      <c r="B19" s="207" t="s">
        <v>67</v>
      </c>
      <c r="C19" s="67">
        <f>SUMIFS(Расчёт.ПрибылиПоПодразделениям!$J:$J,Расчёт.ПрибылиПоПодразделениям!$D:$D,Прибыль!C$6)</f>
        <v>-5109000</v>
      </c>
      <c r="D19" s="67">
        <f>SUMIFS(Расчёт.ПрибылиПоПодразделениям!$J:$J,Расчёт.ПрибылиПоПодразделениям!$D:$D,Прибыль!D$6)</f>
        <v>-7254000</v>
      </c>
      <c r="E19" s="67">
        <f>SUMIFS(Расчёт.ПрибылиПоПодразделениям!$J:$J,Расчёт.ПрибылиПоПодразделениям!$D:$D,Прибыль!E$6)</f>
        <v>-7254000</v>
      </c>
      <c r="F19" s="67">
        <f>SUMIFS(Расчёт.ПрибылиПоПодразделениям!$J:$J,Расчёт.ПрибылиПоПодразделениям!$D:$D,Прибыль!F$6)</f>
        <v>-7254000</v>
      </c>
      <c r="G19" s="67">
        <f>SUMIFS(Расчёт.ПрибылиПоПодразделениям!$J:$J,Расчёт.ПрибылиПоПодразделениям!$D:$D,Прибыль!G$6)</f>
        <v>-7254000</v>
      </c>
      <c r="H19" s="67">
        <f>SUMIFS(Расчёт.ПрибылиПоПодразделениям!$J:$J,Расчёт.ПрибылиПоПодразделениям!$D:$D,Прибыль!H$6)</f>
        <v>-1209000</v>
      </c>
    </row>
    <row r="20" spans="2:8" x14ac:dyDescent="0.25">
      <c r="B20" s="207" t="s">
        <v>224</v>
      </c>
      <c r="C20" s="67">
        <f>IFERROR(-HLOOKUP($C$4,Инвестиции!$H$13:$K$19,MATCH(Прибыль!C$6,Инвестиции!$B$13:$B$19,0),0),0)</f>
        <v>-847615.16666666674</v>
      </c>
      <c r="D20" s="67">
        <f>IFERROR(-HLOOKUP($C$4,Инвестиции!$H$13:$K$19,MATCH(Прибыль!D$6,Инвестиции!$B$13:$B$19,0),0),0)</f>
        <v>-1017138.2000000001</v>
      </c>
      <c r="E20" s="67">
        <f>IFERROR(-HLOOKUP($C$4,Инвестиции!$H$13:$K$19,MATCH(Прибыль!E$6,Инвестиции!$B$13:$B$19,0),0),0)</f>
        <v>-1017138.2000000001</v>
      </c>
      <c r="F20" s="67">
        <f>IFERROR(-HLOOKUP($C$4,Инвестиции!$H$13:$K$19,MATCH(Прибыль!F$6,Инвестиции!$B$13:$B$19,0),0),0)</f>
        <v>-1017138.2000000002</v>
      </c>
      <c r="G20" s="67">
        <f>IFERROR(-HLOOKUP($C$4,Инвестиции!$H$13:$K$19,MATCH(Прибыль!G$6,Инвестиции!$B$13:$B$19,0),0),0)</f>
        <v>-1017138.2</v>
      </c>
      <c r="H20" s="67">
        <f>IFERROR(-HLOOKUP($C$4,Инвестиции!$H$13:$K$19,MATCH(Прибыль!H$6,Инвестиции!$B$13:$B$19,0),0),0)</f>
        <v>0</v>
      </c>
    </row>
    <row r="21" spans="2:8" x14ac:dyDescent="0.25">
      <c r="B21" s="67" t="s">
        <v>196</v>
      </c>
      <c r="C21" s="67">
        <f>IF($C$4="Все",-SUMIFS('Заёмные средства'!$P:$P,'Заёмные средства'!$H:$H,Прибыль!C$6),0)</f>
        <v>-601562.49999999988</v>
      </c>
      <c r="D21" s="67">
        <f>IF($C$4="Все",-SUMIFS('Заёмные средства'!$P:$P,'Заёмные средства'!$H:$H,Прибыль!D$6),0)</f>
        <v>-469791.66666666651</v>
      </c>
      <c r="E21" s="67">
        <f>IF($C$4="Все",-SUMIFS('Заёмные средства'!$P:$P,'Заёмные средства'!$H:$H,Прибыль!E$6),0)</f>
        <v>-194791.6666666666</v>
      </c>
      <c r="F21" s="67">
        <f>IF($C$4="Все",-SUMIFS('Заёмные средства'!$P:$P,'Заёмные средства'!$H:$H,Прибыль!F$6),0)</f>
        <v>-5729.1666666666652</v>
      </c>
      <c r="G21" s="67">
        <f>IF($C$4="Все",-SUMIFS('Заёмные средства'!$P:$P,'Заёмные средства'!$H:$H,Прибыль!G$6),0)</f>
        <v>0</v>
      </c>
      <c r="H21" s="67">
        <f>IF($C$4="Все",-SUMIFS('Заёмные средства'!$P:$P,'Заёмные средства'!$H:$H,Прибыль!H$6),0)</f>
        <v>0</v>
      </c>
    </row>
    <row r="23" spans="2:8" x14ac:dyDescent="0.25">
      <c r="B23" s="207" t="s">
        <v>375</v>
      </c>
      <c r="C23" s="67">
        <f>IF($C$4="Все",SUMIFS(Расчёт.ПрибылиПоПодразделениям!$N:$N,Расчёт.ПрибылиПоПодразделениям!$D:$D,Прибыль!C$6),0)</f>
        <v>-172974.8340909089</v>
      </c>
      <c r="D23" s="67">
        <f>IF($C$4="Все",SUMIFS(Расчёт.ПрибылиПоПодразделениям!$N:$N,Расчёт.ПрибылиПоПодразделениям!$D:$D,Прибыль!D$6),0)</f>
        <v>-512805.40749999951</v>
      </c>
      <c r="E23" s="67">
        <f>IF($C$4="Все",SUMIFS(Расчёт.ПрибылиПоПодразделениям!$N:$N,Расчёт.ПрибылиПоПодразделениям!$D:$D,Прибыль!E$6),0)</f>
        <v>-704105.40749999951</v>
      </c>
      <c r="F23" s="67">
        <f>IF($C$4="Все",SUMIFS(Расчёт.ПрибылиПоПодразделениям!$N:$N,Расчёт.ПрибылиПоПодразделениям!$D:$D,Прибыль!F$6),0)</f>
        <v>-704105.40749999951</v>
      </c>
      <c r="G23" s="67">
        <f>IF($C$4="Все",SUMIFS(Расчёт.ПрибылиПоПодразделениям!$N:$N,Расчёт.ПрибылиПоПодразделениям!$D:$D,Прибыль!G$6),0)</f>
        <v>-704105.40749999951</v>
      </c>
      <c r="H23" s="67">
        <f>IF($C$4="Все",SUMIFS(Расчёт.ПрибылиПоПодразделениям!$N:$N,Расчёт.ПрибылиПоПодразделениям!$D:$D,Прибыль!H$6),0)</f>
        <v>-161101.54499999987</v>
      </c>
    </row>
    <row r="24" spans="2:8" x14ac:dyDescent="0.25">
      <c r="B24" s="67" t="s">
        <v>229</v>
      </c>
      <c r="C24" s="67">
        <f>C17+C18+C19+C20+C21+C23</f>
        <v>476739.16590908868</v>
      </c>
      <c r="D24" s="67">
        <f t="shared" ref="D24:H24" si="4">D17+D18+D19+D20+D21+D23</f>
        <v>6952048.0591666615</v>
      </c>
      <c r="E24" s="67">
        <f>E17+E18+E19+E20+E21+E23</f>
        <v>8311081.3924999917</v>
      </c>
      <c r="F24" s="67">
        <f t="shared" si="4"/>
        <v>8500143.8924999926</v>
      </c>
      <c r="G24" s="67">
        <f t="shared" si="4"/>
        <v>8505873.0591666587</v>
      </c>
      <c r="H24" s="67">
        <f t="shared" si="4"/>
        <v>2012431.7883333322</v>
      </c>
    </row>
    <row r="26" spans="2:8" x14ac:dyDescent="0.25">
      <c r="B26" s="248" t="s">
        <v>233</v>
      </c>
      <c r="C26" s="247">
        <f>IFERROR(C24/C10,0)</f>
        <v>2.3991704791358696E-2</v>
      </c>
      <c r="D26" s="247">
        <f t="shared" ref="D26:H26" si="5">IFERROR(D24/D10,0)</f>
        <v>0.18573961524931634</v>
      </c>
      <c r="E26" s="247">
        <f t="shared" si="5"/>
        <v>0.2067176070762341</v>
      </c>
      <c r="F26" s="247">
        <f t="shared" si="5"/>
        <v>0.21142006945653508</v>
      </c>
      <c r="G26" s="247">
        <f t="shared" si="5"/>
        <v>0.21156256831654419</v>
      </c>
      <c r="H26" s="247">
        <f t="shared" si="5"/>
        <v>0.26904168293226366</v>
      </c>
    </row>
    <row r="28" spans="2:8" x14ac:dyDescent="0.25">
      <c r="B28" s="67" t="s">
        <v>231</v>
      </c>
      <c r="C28" s="67">
        <f t="shared" ref="C28:H28" si="6">C24/C7</f>
        <v>43339.924173553518</v>
      </c>
      <c r="D28" s="67">
        <f t="shared" si="6"/>
        <v>579337.33826388849</v>
      </c>
      <c r="E28" s="67">
        <f t="shared" si="6"/>
        <v>692590.11604166601</v>
      </c>
      <c r="F28" s="67">
        <f t="shared" si="6"/>
        <v>708345.32437499939</v>
      </c>
      <c r="G28" s="67">
        <f t="shared" si="6"/>
        <v>708822.75493055489</v>
      </c>
      <c r="H28" s="67">
        <f t="shared" si="6"/>
        <v>1006215.8941666661</v>
      </c>
    </row>
  </sheetData>
  <hyperlinks>
    <hyperlink ref="B18" location="'Расчёт.Постоянные расходы'!A1" display="Постоянные затраты" xr:uid="{E398D528-1371-4C2E-88DE-2B64316EFABC}"/>
    <hyperlink ref="B20" location="Инвестиции!A1" display="Амортизация" xr:uid="{5DCDAB71-58F5-4715-B907-12EF3A05D2B0}"/>
    <hyperlink ref="B19" location="Персонал!A1" display="Заработная плата" xr:uid="{E92D415D-6029-469B-837C-288171BC0AD2}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'График проекта'!$K$13:$K$19</xm:f>
          </x14:formula1>
          <xm:sqref>C4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CDF2-EACE-44D7-8379-9CF8CD1EE453}">
  <sheetPr>
    <tabColor theme="5" tint="0.59999389629810485"/>
  </sheetPr>
  <dimension ref="B1:Z67"/>
  <sheetViews>
    <sheetView showGridLines="0" tabSelected="1" workbookViewId="0">
      <selection activeCell="S26" sqref="S26"/>
    </sheetView>
  </sheetViews>
  <sheetFormatPr defaultRowHeight="15" outlineLevelCol="1" x14ac:dyDescent="0.25"/>
  <cols>
    <col min="1" max="1" width="9.140625" style="1"/>
    <col min="2" max="4" width="9.28515625" style="1" bestFit="1" customWidth="1"/>
    <col min="5" max="5" width="10.28515625" style="110" bestFit="1" customWidth="1"/>
    <col min="6" max="6" width="9.140625" style="1" hidden="1" customWidth="1" outlineLevel="1"/>
    <col min="7" max="7" width="10.42578125" style="1" hidden="1" customWidth="1" outlineLevel="1"/>
    <col min="8" max="8" width="9.7109375" style="1" hidden="1" customWidth="1" outlineLevel="1"/>
    <col min="9" max="9" width="10.140625" style="1" hidden="1" customWidth="1" outlineLevel="1"/>
    <col min="10" max="10" width="12.42578125" style="1" hidden="1" customWidth="1" outlineLevel="1"/>
    <col min="11" max="11" width="12.42578125" style="1" customWidth="1" collapsed="1"/>
    <col min="12" max="14" width="12.42578125" style="1" customWidth="1"/>
    <col min="15" max="15" width="16.42578125" style="1" customWidth="1"/>
    <col min="16" max="16" width="26.7109375" style="1" bestFit="1" customWidth="1"/>
    <col min="17" max="18" width="16.42578125" style="1" customWidth="1"/>
    <col min="19" max="19" width="24.7109375" style="1" customWidth="1"/>
    <col min="20" max="21" width="14.28515625" style="1" customWidth="1"/>
    <col min="22" max="22" width="11.85546875" style="1" bestFit="1" customWidth="1"/>
    <col min="23" max="23" width="22.140625" style="1" bestFit="1" customWidth="1"/>
    <col min="24" max="24" width="16.42578125" style="1" bestFit="1" customWidth="1"/>
    <col min="25" max="25" width="23" style="1" bestFit="1" customWidth="1"/>
    <col min="26" max="26" width="16.42578125" style="1" bestFit="1" customWidth="1"/>
    <col min="27" max="28" width="13.5703125" style="1" bestFit="1" customWidth="1"/>
    <col min="29" max="34" width="8.85546875" style="1" bestFit="1" customWidth="1"/>
    <col min="35" max="35" width="11.85546875" style="1" bestFit="1" customWidth="1"/>
    <col min="36" max="16384" width="9.140625" style="1"/>
  </cols>
  <sheetData>
    <row r="1" spans="2:26" ht="21" x14ac:dyDescent="0.35">
      <c r="B1" s="43" t="s">
        <v>386</v>
      </c>
    </row>
    <row r="2" spans="2:26" ht="11.25" customHeight="1" x14ac:dyDescent="0.35">
      <c r="B2" s="95"/>
      <c r="C2" s="95"/>
      <c r="D2" s="95"/>
      <c r="E2" s="121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2:26" ht="15.75" x14ac:dyDescent="0.25">
      <c r="N3" s="79" t="s">
        <v>384</v>
      </c>
      <c r="O3" s="228">
        <v>5</v>
      </c>
      <c r="P3" s="79" t="s">
        <v>385</v>
      </c>
      <c r="Q3" s="228">
        <v>2</v>
      </c>
    </row>
    <row r="4" spans="2:26" ht="15.75" thickBot="1" x14ac:dyDescent="0.3"/>
    <row r="5" spans="2:26" ht="30" customHeight="1" thickTop="1" thickBot="1" x14ac:dyDescent="0.3">
      <c r="B5" s="253" t="s">
        <v>111</v>
      </c>
      <c r="C5" s="253"/>
      <c r="D5" s="253"/>
      <c r="E5" s="253"/>
      <c r="F5" s="253"/>
      <c r="G5" s="221"/>
      <c r="H5" s="253" t="s">
        <v>112</v>
      </c>
      <c r="I5" s="253"/>
      <c r="J5" s="253"/>
      <c r="K5" s="261" t="s">
        <v>379</v>
      </c>
      <c r="L5" s="262"/>
      <c r="M5" s="262"/>
      <c r="N5" s="262"/>
      <c r="O5" s="262"/>
      <c r="P5" s="271" t="s">
        <v>380</v>
      </c>
      <c r="Q5" s="271" t="s">
        <v>381</v>
      </c>
      <c r="R5" s="271" t="s">
        <v>382</v>
      </c>
      <c r="S5" s="271" t="s">
        <v>383</v>
      </c>
    </row>
    <row r="6" spans="2:26" s="71" customFormat="1" ht="72.75" thickTop="1" thickBot="1" x14ac:dyDescent="0.3">
      <c r="B6" s="222" t="s">
        <v>45</v>
      </c>
      <c r="C6" s="222" t="s">
        <v>7</v>
      </c>
      <c r="D6" s="222" t="s">
        <v>46</v>
      </c>
      <c r="E6" s="144" t="s">
        <v>47</v>
      </c>
      <c r="F6" s="222" t="s">
        <v>11</v>
      </c>
      <c r="G6" s="222" t="s">
        <v>17</v>
      </c>
      <c r="H6" s="222"/>
      <c r="I6" s="222"/>
      <c r="J6" s="222"/>
      <c r="K6" s="222" t="s">
        <v>85</v>
      </c>
      <c r="L6" s="222" t="s">
        <v>236</v>
      </c>
      <c r="M6" s="222" t="s">
        <v>238</v>
      </c>
      <c r="N6" s="230" t="s">
        <v>239</v>
      </c>
      <c r="O6" s="230" t="s">
        <v>240</v>
      </c>
      <c r="P6" s="272"/>
      <c r="Q6" s="272"/>
      <c r="R6" s="272"/>
      <c r="S6" s="272"/>
      <c r="T6" s="1"/>
      <c r="U6" s="1"/>
      <c r="V6" s="105" t="s">
        <v>139</v>
      </c>
      <c r="W6" s="58" t="s">
        <v>153</v>
      </c>
    </row>
    <row r="7" spans="2:26" ht="15.75" thickTop="1" x14ac:dyDescent="0.25">
      <c r="B7" s="67">
        <v>0</v>
      </c>
      <c r="C7" s="67">
        <f>Настройки!$I$9</f>
        <v>2</v>
      </c>
      <c r="D7" s="67">
        <f t="shared" ref="D7:D67" si="0">YEAR(E7)</f>
        <v>2018</v>
      </c>
      <c r="E7" s="122">
        <f>EOMONTH(Настройки!$I$7,'План продаж.Кол-во'!B7)</f>
        <v>43159</v>
      </c>
      <c r="F7" s="67" t="str">
        <f>INDEX(Сезонность!$G$7:$G$18,MATCH(C7,Сезонность!$F$7:$F$18,0),1)</f>
        <v>Зима</v>
      </c>
      <c r="G7" s="134">
        <f t="shared" ref="G7:G67" si="1">INDEX(Кэф_Сезонности,MATCH(F7,Сезонность,0),1)</f>
        <v>1</v>
      </c>
      <c r="H7" s="67"/>
      <c r="I7" s="67"/>
      <c r="J7" s="67"/>
      <c r="K7" s="67"/>
      <c r="L7" s="67">
        <f>'План продаж'!M6/РазбивкаДохода!L2</f>
        <v>0</v>
      </c>
      <c r="M7" s="67">
        <f>'План продаж'!N6/РазбивкаДохода!L2</f>
        <v>0</v>
      </c>
      <c r="N7" s="67">
        <f>'План продаж'!O6/РазбивкаДохода!M2</f>
        <v>0</v>
      </c>
      <c r="O7" s="67">
        <f>'План продаж'!P6/РазбивкаДохода!L2</f>
        <v>0</v>
      </c>
      <c r="P7" s="67">
        <f>K7/30</f>
        <v>0</v>
      </c>
      <c r="Q7" s="67">
        <f>P7/9.5</f>
        <v>0</v>
      </c>
      <c r="R7" s="67">
        <f>Q7/3.5</f>
        <v>0</v>
      </c>
      <c r="S7" s="67">
        <f>R7/$O$3/$Q$3</f>
        <v>0</v>
      </c>
      <c r="V7" s="61">
        <v>2018</v>
      </c>
      <c r="W7" s="58">
        <v>535772.59907970915</v>
      </c>
    </row>
    <row r="8" spans="2:26" x14ac:dyDescent="0.25">
      <c r="B8" s="67">
        <f t="shared" ref="B8:C23" si="2">B7+1</f>
        <v>1</v>
      </c>
      <c r="C8" s="67">
        <f t="shared" si="2"/>
        <v>3</v>
      </c>
      <c r="D8" s="67">
        <f t="shared" si="0"/>
        <v>2018</v>
      </c>
      <c r="E8" s="122">
        <f>EOMONTH(Настройки!$I$7,'План продаж.Кол-во'!B8)</f>
        <v>43190</v>
      </c>
      <c r="F8" s="67" t="str">
        <f>INDEX(Сезонность!$G$7:$G$18,MATCH(C8,Сезонность!$F$7:$F$18,0),1)</f>
        <v>Весна</v>
      </c>
      <c r="G8" s="134">
        <f t="shared" si="1"/>
        <v>1</v>
      </c>
      <c r="H8" s="67"/>
      <c r="I8" s="67"/>
      <c r="J8" s="67"/>
      <c r="K8" s="129">
        <f>SUM(L8:O8)</f>
        <v>23378.358319726878</v>
      </c>
      <c r="L8" s="67">
        <f>'План продаж'!M7/РазбивкаДохода!L3</f>
        <v>6679.5309484933941</v>
      </c>
      <c r="M8" s="67">
        <f>'План продаж'!N7/РазбивкаДохода!L3</f>
        <v>16698.827371233485</v>
      </c>
      <c r="N8" s="67">
        <f>'План продаж'!O7/РазбивкаДохода!M3</f>
        <v>0</v>
      </c>
      <c r="O8" s="67">
        <f>'План продаж'!P7/РазбивкаДохода!L3</f>
        <v>0</v>
      </c>
      <c r="P8" s="67">
        <f t="shared" ref="P8:P67" si="3">K8/30</f>
        <v>779.27861065756258</v>
      </c>
      <c r="Q8" s="67">
        <f t="shared" ref="Q8:Q67" si="4">P8/9.5</f>
        <v>82.029327437638173</v>
      </c>
      <c r="R8" s="67">
        <f t="shared" ref="R8:R39" si="5">Q8/3.5</f>
        <v>23.436950696468049</v>
      </c>
      <c r="S8" s="67">
        <f t="shared" ref="S8:S67" si="6">R8/$O$3/$Q$3</f>
        <v>2.3436950696468051</v>
      </c>
      <c r="V8" s="61">
        <v>2019</v>
      </c>
      <c r="W8" s="58">
        <v>1129533.4223937462</v>
      </c>
    </row>
    <row r="9" spans="2:26" x14ac:dyDescent="0.25">
      <c r="B9" s="67">
        <f t="shared" si="2"/>
        <v>2</v>
      </c>
      <c r="C9" s="67">
        <f t="shared" si="2"/>
        <v>4</v>
      </c>
      <c r="D9" s="67">
        <f t="shared" si="0"/>
        <v>2018</v>
      </c>
      <c r="E9" s="122">
        <f>EOMONTH(Настройки!$I$7,'План продаж.Кол-во'!B9)</f>
        <v>43220</v>
      </c>
      <c r="F9" s="67" t="str">
        <f>INDEX(Сезонность!$G$7:$G$18,MATCH(C9,Сезонность!$F$7:$F$18,0),1)</f>
        <v>Весна</v>
      </c>
      <c r="G9" s="134">
        <f t="shared" si="1"/>
        <v>1</v>
      </c>
      <c r="H9" s="67"/>
      <c r="I9" s="67"/>
      <c r="J9" s="67"/>
      <c r="K9" s="129">
        <f t="shared" ref="K9:K67" si="7">SUM(L9:O9)</f>
        <v>34387.21488298451</v>
      </c>
      <c r="L9" s="67">
        <f>'План продаж'!M8/РазбивкаДохода!L4</f>
        <v>6679.5309484933941</v>
      </c>
      <c r="M9" s="67">
        <f>'План продаж'!N8/РазбивкаДохода!L4</f>
        <v>16698.827371233485</v>
      </c>
      <c r="N9" s="67">
        <f>'План продаж'!O8/РазбивкаДохода!M4</f>
        <v>5442.5807728464697</v>
      </c>
      <c r="O9" s="67">
        <f>'План продаж'!P8/РазбивкаДохода!L4</f>
        <v>5566.2757904111622</v>
      </c>
      <c r="P9" s="67">
        <f t="shared" si="3"/>
        <v>1146.2404960994836</v>
      </c>
      <c r="Q9" s="67">
        <f t="shared" si="4"/>
        <v>120.65689432626144</v>
      </c>
      <c r="R9" s="67">
        <f t="shared" si="5"/>
        <v>34.47339837893184</v>
      </c>
      <c r="S9" s="67">
        <f t="shared" si="6"/>
        <v>3.4473398378931841</v>
      </c>
      <c r="V9" s="61">
        <v>2020</v>
      </c>
      <c r="W9" s="58">
        <v>1240908.4162089953</v>
      </c>
    </row>
    <row r="10" spans="2:26" x14ac:dyDescent="0.25">
      <c r="B10" s="67">
        <f t="shared" si="2"/>
        <v>3</v>
      </c>
      <c r="C10" s="67">
        <f t="shared" si="2"/>
        <v>5</v>
      </c>
      <c r="D10" s="67">
        <f t="shared" si="0"/>
        <v>2018</v>
      </c>
      <c r="E10" s="122">
        <f>EOMONTH(Настройки!$I$7,'План продаж.Кол-во'!B10)</f>
        <v>43251</v>
      </c>
      <c r="F10" s="67" t="str">
        <f>INDEX(Сезонность!$G$7:$G$18,MATCH(C10,Сезонность!$F$7:$F$18,0),1)</f>
        <v>Весна</v>
      </c>
      <c r="G10" s="134">
        <f t="shared" si="1"/>
        <v>1</v>
      </c>
      <c r="H10" s="67"/>
      <c r="I10" s="67"/>
      <c r="J10" s="67"/>
      <c r="K10" s="129">
        <f t="shared" si="7"/>
        <v>25790.411162238386</v>
      </c>
      <c r="L10" s="67">
        <f>'План продаж'!M9/РазбивкаДохода!L5</f>
        <v>5009.6482113700458</v>
      </c>
      <c r="M10" s="67">
        <f>'План продаж'!N9/РазбивкаДохода!L5</f>
        <v>12524.120528425115</v>
      </c>
      <c r="N10" s="67">
        <f>'План продаж'!O9/РазбивкаДохода!M5</f>
        <v>4081.9355796348527</v>
      </c>
      <c r="O10" s="67">
        <f>'План продаж'!P9/РазбивкаДохода!L5</f>
        <v>4174.7068428083712</v>
      </c>
      <c r="P10" s="67">
        <f t="shared" si="3"/>
        <v>859.68037207461282</v>
      </c>
      <c r="Q10" s="67">
        <f t="shared" si="4"/>
        <v>90.492670744696085</v>
      </c>
      <c r="R10" s="67">
        <f t="shared" si="5"/>
        <v>25.855048784198882</v>
      </c>
      <c r="S10" s="67">
        <f t="shared" si="6"/>
        <v>2.5855048784198882</v>
      </c>
      <c r="V10" s="61">
        <v>2021</v>
      </c>
      <c r="W10" s="58">
        <v>1240908.4162089953</v>
      </c>
    </row>
    <row r="11" spans="2:26" x14ac:dyDescent="0.25">
      <c r="B11" s="67">
        <f t="shared" si="2"/>
        <v>4</v>
      </c>
      <c r="C11" s="67">
        <f t="shared" si="2"/>
        <v>6</v>
      </c>
      <c r="D11" s="67">
        <f t="shared" si="0"/>
        <v>2018</v>
      </c>
      <c r="E11" s="122">
        <f>EOMONTH(Настройки!$I$7,'План продаж.Кол-во'!B11)</f>
        <v>43281</v>
      </c>
      <c r="F11" s="67" t="str">
        <f>INDEX(Сезонность!$G$7:$G$18,MATCH(C11,Сезонность!$F$7:$F$18,0),1)</f>
        <v>Лето</v>
      </c>
      <c r="G11" s="134">
        <f t="shared" si="1"/>
        <v>1</v>
      </c>
      <c r="H11" s="67"/>
      <c r="I11" s="67"/>
      <c r="J11" s="67"/>
      <c r="K11" s="129">
        <f t="shared" si="7"/>
        <v>25790.411162238386</v>
      </c>
      <c r="L11" s="67">
        <f>'План продаж'!M10/РазбивкаДохода!L6</f>
        <v>5009.6482113700458</v>
      </c>
      <c r="M11" s="67">
        <f>'План продаж'!N10/РазбивкаДохода!L6</f>
        <v>12524.120528425115</v>
      </c>
      <c r="N11" s="67">
        <f>'План продаж'!O10/РазбивкаДохода!M6</f>
        <v>4081.9355796348527</v>
      </c>
      <c r="O11" s="67">
        <f>'План продаж'!P10/РазбивкаДохода!L6</f>
        <v>4174.7068428083712</v>
      </c>
      <c r="P11" s="67">
        <f t="shared" si="3"/>
        <v>859.68037207461282</v>
      </c>
      <c r="Q11" s="67">
        <f t="shared" si="4"/>
        <v>90.492670744696085</v>
      </c>
      <c r="R11" s="67">
        <f t="shared" si="5"/>
        <v>25.855048784198882</v>
      </c>
      <c r="S11" s="67">
        <f t="shared" si="6"/>
        <v>2.5855048784198882</v>
      </c>
      <c r="V11" s="61">
        <v>2022</v>
      </c>
      <c r="W11" s="58">
        <v>1240908.4162089953</v>
      </c>
    </row>
    <row r="12" spans="2:26" x14ac:dyDescent="0.25">
      <c r="B12" s="67">
        <f t="shared" si="2"/>
        <v>5</v>
      </c>
      <c r="C12" s="67">
        <f t="shared" ref="C12:C67" si="8">IF(C11=12,1,C11+1)</f>
        <v>7</v>
      </c>
      <c r="D12" s="67">
        <f t="shared" si="0"/>
        <v>2018</v>
      </c>
      <c r="E12" s="122">
        <f>EOMONTH(Настройки!$I$7,'План продаж.Кол-во'!B12)</f>
        <v>43312</v>
      </c>
      <c r="F12" s="67" t="str">
        <f>INDEX(Сезонность!$G$7:$G$18,MATCH(C12,Сезонность!$F$7:$F$18,0),1)</f>
        <v>Лето</v>
      </c>
      <c r="G12" s="134">
        <f t="shared" si="1"/>
        <v>1</v>
      </c>
      <c r="H12" s="67"/>
      <c r="I12" s="67"/>
      <c r="J12" s="67"/>
      <c r="K12" s="129">
        <f t="shared" si="7"/>
        <v>50050.096482113702</v>
      </c>
      <c r="L12" s="67">
        <f>'План продаж'!M11/РазбивкаДохода!L7</f>
        <v>6679.5309484933941</v>
      </c>
      <c r="M12" s="67">
        <f>'План продаж'!N11/РазбивкаДохода!L7</f>
        <v>14611.4739498293</v>
      </c>
      <c r="N12" s="67">
        <f>'План продаж'!O11/РазбивкаДохода!M7</f>
        <v>20409.677898174265</v>
      </c>
      <c r="O12" s="67">
        <f>'План продаж'!P11/РазбивкаДохода!L7</f>
        <v>8349.4136856167424</v>
      </c>
      <c r="P12" s="67">
        <f t="shared" si="3"/>
        <v>1668.3365494037901</v>
      </c>
      <c r="Q12" s="67">
        <f t="shared" si="4"/>
        <v>175.61437362145159</v>
      </c>
      <c r="R12" s="67">
        <f t="shared" si="5"/>
        <v>50.175535320414738</v>
      </c>
      <c r="S12" s="67">
        <f t="shared" si="6"/>
        <v>5.0175535320414735</v>
      </c>
      <c r="V12" s="61">
        <v>2023</v>
      </c>
      <c r="W12" s="58">
        <v>206818.06936816586</v>
      </c>
    </row>
    <row r="13" spans="2:26" x14ac:dyDescent="0.25">
      <c r="B13" s="67">
        <f t="shared" si="2"/>
        <v>6</v>
      </c>
      <c r="C13" s="67">
        <f t="shared" si="8"/>
        <v>8</v>
      </c>
      <c r="D13" s="67">
        <f t="shared" si="0"/>
        <v>2018</v>
      </c>
      <c r="E13" s="122">
        <f>EOMONTH(Настройки!$I$7,'План продаж.Кол-во'!B13)</f>
        <v>43343</v>
      </c>
      <c r="F13" s="67" t="str">
        <f>INDEX(Сезонность!$G$7:$G$18,MATCH(C13,Сезонность!$F$7:$F$18,0),1)</f>
        <v>Лето</v>
      </c>
      <c r="G13" s="134">
        <f t="shared" si="1"/>
        <v>1</v>
      </c>
      <c r="H13" s="67"/>
      <c r="I13" s="67"/>
      <c r="J13" s="67"/>
      <c r="K13" s="129">
        <f t="shared" si="7"/>
        <v>50050.096482113702</v>
      </c>
      <c r="L13" s="67">
        <f>'План продаж'!M12/РазбивкаДохода!L8</f>
        <v>6679.5309484933941</v>
      </c>
      <c r="M13" s="67">
        <f>'План продаж'!N12/РазбивкаДохода!L8</f>
        <v>14611.4739498293</v>
      </c>
      <c r="N13" s="67">
        <f>'План продаж'!O12/РазбивкаДохода!M8</f>
        <v>20409.677898174265</v>
      </c>
      <c r="O13" s="67">
        <f>'План продаж'!P12/РазбивкаДохода!L8</f>
        <v>8349.4136856167424</v>
      </c>
      <c r="P13" s="67">
        <f t="shared" si="3"/>
        <v>1668.3365494037901</v>
      </c>
      <c r="Q13" s="67">
        <f t="shared" si="4"/>
        <v>175.61437362145159</v>
      </c>
      <c r="R13" s="67">
        <f t="shared" si="5"/>
        <v>50.175535320414738</v>
      </c>
      <c r="S13" s="67">
        <f t="shared" si="6"/>
        <v>5.0175535320414735</v>
      </c>
      <c r="V13" s="61" t="s">
        <v>138</v>
      </c>
      <c r="W13" s="58">
        <v>5594849.3394686077</v>
      </c>
    </row>
    <row r="14" spans="2:26" x14ac:dyDescent="0.25">
      <c r="B14" s="67">
        <f t="shared" si="2"/>
        <v>7</v>
      </c>
      <c r="C14" s="67">
        <f t="shared" si="8"/>
        <v>9</v>
      </c>
      <c r="D14" s="67">
        <f t="shared" si="0"/>
        <v>2018</v>
      </c>
      <c r="E14" s="122">
        <f>EOMONTH(Настройки!$I$7,'План продаж.Кол-во'!B14)</f>
        <v>43373</v>
      </c>
      <c r="F14" s="67" t="str">
        <f>INDEX(Сезонность!$G$7:$G$18,MATCH(C14,Сезонность!$F$7:$F$18,0),1)</f>
        <v>Осень</v>
      </c>
      <c r="G14" s="134">
        <f t="shared" si="1"/>
        <v>1</v>
      </c>
      <c r="H14" s="67"/>
      <c r="I14" s="67"/>
      <c r="J14" s="67"/>
      <c r="K14" s="129">
        <f t="shared" si="7"/>
        <v>50050.096482113702</v>
      </c>
      <c r="L14" s="67">
        <f>'План продаж'!M13/РазбивкаДохода!L9</f>
        <v>6679.5309484933941</v>
      </c>
      <c r="M14" s="67">
        <f>'План продаж'!N13/РазбивкаДохода!L9</f>
        <v>14611.4739498293</v>
      </c>
      <c r="N14" s="67">
        <f>'План продаж'!O13/РазбивкаДохода!M9</f>
        <v>20409.677898174265</v>
      </c>
      <c r="O14" s="67">
        <f>'План продаж'!P13/РазбивкаДохода!L9</f>
        <v>8349.4136856167424</v>
      </c>
      <c r="P14" s="67">
        <f t="shared" si="3"/>
        <v>1668.3365494037901</v>
      </c>
      <c r="Q14" s="67">
        <f t="shared" si="4"/>
        <v>175.61437362145159</v>
      </c>
      <c r="R14" s="67">
        <f t="shared" si="5"/>
        <v>50.175535320414738</v>
      </c>
      <c r="S14" s="67">
        <f t="shared" si="6"/>
        <v>5.0175535320414735</v>
      </c>
    </row>
    <row r="15" spans="2:26" x14ac:dyDescent="0.25">
      <c r="B15" s="67">
        <f t="shared" si="2"/>
        <v>8</v>
      </c>
      <c r="C15" s="67">
        <f t="shared" si="8"/>
        <v>10</v>
      </c>
      <c r="D15" s="67">
        <f t="shared" si="0"/>
        <v>2018</v>
      </c>
      <c r="E15" s="122">
        <f>EOMONTH(Настройки!$I$7,'План продаж.Кол-во'!B15)</f>
        <v>43404</v>
      </c>
      <c r="F15" s="67" t="str">
        <f>INDEX(Сезонность!$G$7:$G$18,MATCH(C15,Сезонность!$F$7:$F$18,0),1)</f>
        <v>Осень</v>
      </c>
      <c r="G15" s="134">
        <f t="shared" si="1"/>
        <v>1</v>
      </c>
      <c r="H15" s="67"/>
      <c r="I15" s="67"/>
      <c r="J15" s="67"/>
      <c r="K15" s="129">
        <f t="shared" si="7"/>
        <v>66733.461976151608</v>
      </c>
      <c r="L15" s="67">
        <f>'План продаж'!M14/РазбивкаДохода!L10</f>
        <v>8906.0412646578588</v>
      </c>
      <c r="M15" s="67">
        <f>'План продаж'!N14/РазбивкаДохода!L10</f>
        <v>19481.965266439067</v>
      </c>
      <c r="N15" s="67">
        <f>'План продаж'!O14/РазбивкаДохода!M10</f>
        <v>27212.90386423235</v>
      </c>
      <c r="O15" s="67">
        <f>'План продаж'!P14/РазбивкаДохода!L10</f>
        <v>11132.551580822324</v>
      </c>
      <c r="P15" s="67">
        <f t="shared" si="3"/>
        <v>2224.448732538387</v>
      </c>
      <c r="Q15" s="67">
        <f t="shared" si="4"/>
        <v>234.15249816193548</v>
      </c>
      <c r="R15" s="67">
        <f t="shared" si="5"/>
        <v>66.900713760552989</v>
      </c>
      <c r="S15" s="67">
        <f t="shared" si="6"/>
        <v>6.6900713760552986</v>
      </c>
    </row>
    <row r="16" spans="2:26" x14ac:dyDescent="0.25">
      <c r="B16" s="67">
        <f t="shared" si="2"/>
        <v>9</v>
      </c>
      <c r="C16" s="67">
        <f t="shared" si="8"/>
        <v>11</v>
      </c>
      <c r="D16" s="67">
        <f t="shared" si="0"/>
        <v>2018</v>
      </c>
      <c r="E16" s="122">
        <f>EOMONTH(Настройки!$I$7,'План продаж.Кол-во'!B16)</f>
        <v>43434</v>
      </c>
      <c r="F16" s="67" t="str">
        <f>INDEX(Сезонность!$G$7:$G$18,MATCH(C16,Сезонность!$F$7:$F$18,0),1)</f>
        <v>Осень</v>
      </c>
      <c r="G16" s="134">
        <f t="shared" si="1"/>
        <v>1</v>
      </c>
      <c r="H16" s="67"/>
      <c r="I16" s="67"/>
      <c r="J16" s="67"/>
      <c r="K16" s="129">
        <f t="shared" si="7"/>
        <v>66733.461976151608</v>
      </c>
      <c r="L16" s="67">
        <f>'План продаж'!M15/РазбивкаДохода!L11</f>
        <v>8906.0412646578588</v>
      </c>
      <c r="M16" s="67">
        <f>'План продаж'!N15/РазбивкаДохода!L11</f>
        <v>19481.965266439067</v>
      </c>
      <c r="N16" s="67">
        <f>'План продаж'!O15/РазбивкаДохода!M11</f>
        <v>27212.90386423235</v>
      </c>
      <c r="O16" s="67">
        <f>'План продаж'!P15/РазбивкаДохода!L11</f>
        <v>11132.551580822324</v>
      </c>
      <c r="P16" s="67">
        <f t="shared" si="3"/>
        <v>2224.448732538387</v>
      </c>
      <c r="Q16" s="67">
        <f t="shared" si="4"/>
        <v>234.15249816193548</v>
      </c>
      <c r="R16" s="67">
        <f t="shared" si="5"/>
        <v>66.900713760552989</v>
      </c>
      <c r="S16" s="67">
        <f t="shared" si="6"/>
        <v>6.6900713760552986</v>
      </c>
    </row>
    <row r="17" spans="2:19" x14ac:dyDescent="0.25">
      <c r="B17" s="67">
        <f t="shared" si="2"/>
        <v>10</v>
      </c>
      <c r="C17" s="67">
        <f t="shared" si="8"/>
        <v>12</v>
      </c>
      <c r="D17" s="67">
        <f t="shared" si="0"/>
        <v>2018</v>
      </c>
      <c r="E17" s="122">
        <f>EOMONTH(Настройки!$I$7,'План продаж.Кол-во'!B17)</f>
        <v>43465</v>
      </c>
      <c r="F17" s="67" t="str">
        <f>INDEX(Сезонность!$G$7:$G$18,MATCH(C17,Сезонность!$F$7:$F$18,0),1)</f>
        <v>Зима</v>
      </c>
      <c r="G17" s="134">
        <f t="shared" si="1"/>
        <v>1</v>
      </c>
      <c r="H17" s="67"/>
      <c r="I17" s="67"/>
      <c r="J17" s="67"/>
      <c r="K17" s="129">
        <f t="shared" si="7"/>
        <v>75565.286230270649</v>
      </c>
      <c r="L17" s="67">
        <f>'План продаж'!M16/РазбивкаДохода!L12</f>
        <v>8906.0412646578588</v>
      </c>
      <c r="M17" s="67">
        <f>'План продаж'!N16/РазбивкаДохода!L12</f>
        <v>20595.2204245213</v>
      </c>
      <c r="N17" s="67">
        <f>'План продаж'!O16/РазбивкаДохода!M12</f>
        <v>30478.452327940231</v>
      </c>
      <c r="O17" s="67">
        <f>'План продаж'!P16/РазбивкаДохода!L12</f>
        <v>15585.572213151254</v>
      </c>
      <c r="P17" s="67">
        <f t="shared" si="3"/>
        <v>2518.8428743423551</v>
      </c>
      <c r="Q17" s="67">
        <f t="shared" si="4"/>
        <v>265.1413551939321</v>
      </c>
      <c r="R17" s="67">
        <f t="shared" si="5"/>
        <v>75.754672912552024</v>
      </c>
      <c r="S17" s="67">
        <f t="shared" si="6"/>
        <v>7.5754672912552028</v>
      </c>
    </row>
    <row r="18" spans="2:19" x14ac:dyDescent="0.25">
      <c r="B18" s="67">
        <f t="shared" si="2"/>
        <v>11</v>
      </c>
      <c r="C18" s="67">
        <f t="shared" si="8"/>
        <v>1</v>
      </c>
      <c r="D18" s="67">
        <f t="shared" si="0"/>
        <v>2019</v>
      </c>
      <c r="E18" s="122">
        <f>EOMONTH(Настройки!$I$7,'План продаж.Кол-во'!B18)</f>
        <v>43496</v>
      </c>
      <c r="F18" s="67" t="str">
        <f>INDEX(Сезонность!$G$7:$G$18,MATCH(C18,Сезонность!$F$7:$F$18,0),1)</f>
        <v>Зима</v>
      </c>
      <c r="G18" s="134">
        <f t="shared" si="1"/>
        <v>1</v>
      </c>
      <c r="H18" s="67"/>
      <c r="I18" s="67"/>
      <c r="J18" s="67"/>
      <c r="K18" s="129">
        <f t="shared" si="7"/>
        <v>75565.286230270649</v>
      </c>
      <c r="L18" s="67">
        <f>'План продаж'!M17/РазбивкаДохода!L13</f>
        <v>8906.0412646578588</v>
      </c>
      <c r="M18" s="67">
        <f>'План продаж'!N17/РазбивкаДохода!L13</f>
        <v>20595.2204245213</v>
      </c>
      <c r="N18" s="67">
        <f>'План продаж'!O17/РазбивкаДохода!M13</f>
        <v>30478.452327940231</v>
      </c>
      <c r="O18" s="67">
        <f>'План продаж'!P17/РазбивкаДохода!L13</f>
        <v>15585.572213151254</v>
      </c>
      <c r="P18" s="67">
        <f t="shared" si="3"/>
        <v>2518.8428743423551</v>
      </c>
      <c r="Q18" s="67">
        <f t="shared" si="4"/>
        <v>265.1413551939321</v>
      </c>
      <c r="R18" s="67">
        <f t="shared" si="5"/>
        <v>75.754672912552024</v>
      </c>
      <c r="S18" s="67">
        <f t="shared" si="6"/>
        <v>7.5754672912552028</v>
      </c>
    </row>
    <row r="19" spans="2:19" x14ac:dyDescent="0.25">
      <c r="B19" s="67">
        <f t="shared" si="2"/>
        <v>12</v>
      </c>
      <c r="C19" s="67">
        <f t="shared" si="8"/>
        <v>2</v>
      </c>
      <c r="D19" s="67">
        <f t="shared" si="0"/>
        <v>2019</v>
      </c>
      <c r="E19" s="122">
        <f>EOMONTH(Настройки!$I$7,'План продаж.Кол-во'!B19)</f>
        <v>43524</v>
      </c>
      <c r="F19" s="67" t="str">
        <f>INDEX(Сезонность!$G$7:$G$18,MATCH(C19,Сезонность!$F$7:$F$18,0),1)</f>
        <v>Зима</v>
      </c>
      <c r="G19" s="134">
        <f t="shared" si="1"/>
        <v>1</v>
      </c>
      <c r="H19" s="67"/>
      <c r="I19" s="67"/>
      <c r="J19" s="67"/>
      <c r="K19" s="129">
        <f t="shared" si="7"/>
        <v>75565.286230270649</v>
      </c>
      <c r="L19" s="67">
        <f>'План продаж'!M18/РазбивкаДохода!L14</f>
        <v>8906.0412646578588</v>
      </c>
      <c r="M19" s="67">
        <f>'План продаж'!N18/РазбивкаДохода!L14</f>
        <v>20595.2204245213</v>
      </c>
      <c r="N19" s="67">
        <f>'План продаж'!O18/РазбивкаДохода!M14</f>
        <v>30478.452327940231</v>
      </c>
      <c r="O19" s="67">
        <f>'План продаж'!P18/РазбивкаДохода!L14</f>
        <v>15585.572213151254</v>
      </c>
      <c r="P19" s="67">
        <f t="shared" si="3"/>
        <v>2518.8428743423551</v>
      </c>
      <c r="Q19" s="67">
        <f t="shared" si="4"/>
        <v>265.1413551939321</v>
      </c>
      <c r="R19" s="67">
        <f t="shared" si="5"/>
        <v>75.754672912552024</v>
      </c>
      <c r="S19" s="67">
        <f t="shared" si="6"/>
        <v>7.5754672912552028</v>
      </c>
    </row>
    <row r="20" spans="2:19" x14ac:dyDescent="0.25">
      <c r="B20" s="67">
        <f t="shared" si="2"/>
        <v>13</v>
      </c>
      <c r="C20" s="67">
        <f t="shared" si="8"/>
        <v>3</v>
      </c>
      <c r="D20" s="67">
        <f t="shared" si="0"/>
        <v>2019</v>
      </c>
      <c r="E20" s="122">
        <f>EOMONTH(Настройки!$I$7,'План продаж.Кол-во'!B20)</f>
        <v>43555</v>
      </c>
      <c r="F20" s="67" t="str">
        <f>INDEX(Сезонность!$G$7:$G$18,MATCH(C20,Сезонность!$F$7:$F$18,0),1)</f>
        <v>Весна</v>
      </c>
      <c r="G20" s="134">
        <f t="shared" si="1"/>
        <v>1</v>
      </c>
      <c r="H20" s="67"/>
      <c r="I20" s="67"/>
      <c r="J20" s="67"/>
      <c r="K20" s="129">
        <f t="shared" si="7"/>
        <v>75565.286230270649</v>
      </c>
      <c r="L20" s="67">
        <f>'План продаж'!M19/РазбивкаДохода!L15</f>
        <v>8906.0412646578588</v>
      </c>
      <c r="M20" s="67">
        <f>'План продаж'!N19/РазбивкаДохода!L15</f>
        <v>20595.2204245213</v>
      </c>
      <c r="N20" s="67">
        <f>'План продаж'!O19/РазбивкаДохода!M15</f>
        <v>30478.452327940231</v>
      </c>
      <c r="O20" s="67">
        <f>'План продаж'!P19/РазбивкаДохода!L15</f>
        <v>15585.572213151254</v>
      </c>
      <c r="P20" s="67">
        <f t="shared" si="3"/>
        <v>2518.8428743423551</v>
      </c>
      <c r="Q20" s="67">
        <f t="shared" si="4"/>
        <v>265.1413551939321</v>
      </c>
      <c r="R20" s="67">
        <f t="shared" si="5"/>
        <v>75.754672912552024</v>
      </c>
      <c r="S20" s="67">
        <f t="shared" si="6"/>
        <v>7.5754672912552028</v>
      </c>
    </row>
    <row r="21" spans="2:19" x14ac:dyDescent="0.25">
      <c r="B21" s="67">
        <f t="shared" si="2"/>
        <v>14</v>
      </c>
      <c r="C21" s="67">
        <f t="shared" si="8"/>
        <v>4</v>
      </c>
      <c r="D21" s="67">
        <f t="shared" si="0"/>
        <v>2019</v>
      </c>
      <c r="E21" s="122">
        <f>EOMONTH(Настройки!$I$7,'План продаж.Кол-во'!B21)</f>
        <v>43585</v>
      </c>
      <c r="F21" s="67" t="str">
        <f>INDEX(Сезонность!$G$7:$G$18,MATCH(C21,Сезонность!$F$7:$F$18,0),1)</f>
        <v>Весна</v>
      </c>
      <c r="G21" s="134">
        <f t="shared" si="1"/>
        <v>1</v>
      </c>
      <c r="H21" s="67"/>
      <c r="I21" s="67"/>
      <c r="J21" s="67"/>
      <c r="K21" s="129">
        <f t="shared" si="7"/>
        <v>75565.286230270649</v>
      </c>
      <c r="L21" s="67">
        <f>'План продаж'!M20/РазбивкаДохода!L16</f>
        <v>8906.0412646578588</v>
      </c>
      <c r="M21" s="67">
        <f>'План продаж'!N20/РазбивкаДохода!L16</f>
        <v>20595.2204245213</v>
      </c>
      <c r="N21" s="67">
        <f>'План продаж'!O20/РазбивкаДохода!M16</f>
        <v>30478.452327940231</v>
      </c>
      <c r="O21" s="67">
        <f>'План продаж'!P20/РазбивкаДохода!L16</f>
        <v>15585.572213151254</v>
      </c>
      <c r="P21" s="67">
        <f t="shared" si="3"/>
        <v>2518.8428743423551</v>
      </c>
      <c r="Q21" s="67">
        <f t="shared" si="4"/>
        <v>265.1413551939321</v>
      </c>
      <c r="R21" s="67">
        <f t="shared" si="5"/>
        <v>75.754672912552024</v>
      </c>
      <c r="S21" s="67">
        <f t="shared" si="6"/>
        <v>7.5754672912552028</v>
      </c>
    </row>
    <row r="22" spans="2:19" x14ac:dyDescent="0.25">
      <c r="B22" s="67">
        <f t="shared" si="2"/>
        <v>15</v>
      </c>
      <c r="C22" s="67">
        <f t="shared" si="8"/>
        <v>5</v>
      </c>
      <c r="D22" s="67">
        <f t="shared" si="0"/>
        <v>2019</v>
      </c>
      <c r="E22" s="122">
        <f>EOMONTH(Настройки!$I$7,'План продаж.Кол-во'!B22)</f>
        <v>43616</v>
      </c>
      <c r="F22" s="67" t="str">
        <f>INDEX(Сезонность!$G$7:$G$18,MATCH(C22,Сезонность!$F$7:$F$18,0),1)</f>
        <v>Весна</v>
      </c>
      <c r="G22" s="134">
        <f t="shared" si="1"/>
        <v>1</v>
      </c>
      <c r="H22" s="67"/>
      <c r="I22" s="67"/>
      <c r="J22" s="67"/>
      <c r="K22" s="129">
        <f t="shared" si="7"/>
        <v>77556.776013062205</v>
      </c>
      <c r="L22" s="67">
        <f>'План продаж'!M21/РазбивкаДохода!L17</f>
        <v>6679.5309484933941</v>
      </c>
      <c r="M22" s="67">
        <f>'План продаж'!N21/РазбивкаДохода!L17</f>
        <v>15446.415318390975</v>
      </c>
      <c r="N22" s="67">
        <f>'План продаж'!O21/РазбивкаДохода!M17</f>
        <v>40819.355796348529</v>
      </c>
      <c r="O22" s="67">
        <f>'План продаж'!P21/РазбивкаДохода!L17</f>
        <v>14611.4739498293</v>
      </c>
      <c r="P22" s="67">
        <f t="shared" si="3"/>
        <v>2585.2258671020736</v>
      </c>
      <c r="Q22" s="67">
        <f t="shared" si="4"/>
        <v>272.12903864232356</v>
      </c>
      <c r="R22" s="67">
        <f t="shared" si="5"/>
        <v>77.751153897806731</v>
      </c>
      <c r="S22" s="67">
        <f t="shared" si="6"/>
        <v>7.7751153897806731</v>
      </c>
    </row>
    <row r="23" spans="2:19" x14ac:dyDescent="0.25">
      <c r="B23" s="67">
        <f t="shared" si="2"/>
        <v>16</v>
      </c>
      <c r="C23" s="67">
        <f t="shared" si="8"/>
        <v>6</v>
      </c>
      <c r="D23" s="67">
        <f t="shared" si="0"/>
        <v>2019</v>
      </c>
      <c r="E23" s="122">
        <f>EOMONTH(Настройки!$I$7,'План продаж.Кол-во'!B23)</f>
        <v>43646</v>
      </c>
      <c r="F23" s="67" t="str">
        <f>INDEX(Сезонность!$G$7:$G$18,MATCH(C23,Сезонность!$F$7:$F$18,0),1)</f>
        <v>Лето</v>
      </c>
      <c r="G23" s="134">
        <f t="shared" si="1"/>
        <v>1</v>
      </c>
      <c r="H23" s="67"/>
      <c r="I23" s="67"/>
      <c r="J23" s="67"/>
      <c r="K23" s="129">
        <f t="shared" si="7"/>
        <v>77556.776013062205</v>
      </c>
      <c r="L23" s="67">
        <f>'План продаж'!M22/РазбивкаДохода!L18</f>
        <v>6679.5309484933941</v>
      </c>
      <c r="M23" s="67">
        <f>'План продаж'!N22/РазбивкаДохода!L18</f>
        <v>15446.415318390975</v>
      </c>
      <c r="N23" s="67">
        <f>'План продаж'!O22/РазбивкаДохода!M18</f>
        <v>40819.355796348529</v>
      </c>
      <c r="O23" s="67">
        <f>'План продаж'!P22/РазбивкаДохода!L18</f>
        <v>14611.4739498293</v>
      </c>
      <c r="P23" s="67">
        <f t="shared" si="3"/>
        <v>2585.2258671020736</v>
      </c>
      <c r="Q23" s="67">
        <f t="shared" si="4"/>
        <v>272.12903864232356</v>
      </c>
      <c r="R23" s="67">
        <f t="shared" si="5"/>
        <v>77.751153897806731</v>
      </c>
      <c r="S23" s="67">
        <f t="shared" si="6"/>
        <v>7.7751153897806731</v>
      </c>
    </row>
    <row r="24" spans="2:19" x14ac:dyDescent="0.25">
      <c r="B24" s="67">
        <f t="shared" ref="B24:B67" si="9">B23+1</f>
        <v>17</v>
      </c>
      <c r="C24" s="67">
        <f t="shared" si="8"/>
        <v>7</v>
      </c>
      <c r="D24" s="67">
        <f t="shared" si="0"/>
        <v>2019</v>
      </c>
      <c r="E24" s="122">
        <f>EOMONTH(Настройки!$I$7,'План продаж.Кол-во'!B24)</f>
        <v>43677</v>
      </c>
      <c r="F24" s="67" t="str">
        <f>INDEX(Сезонность!$G$7:$G$18,MATCH(C24,Сезонность!$F$7:$F$18,0),1)</f>
        <v>Лето</v>
      </c>
      <c r="G24" s="134">
        <f t="shared" si="1"/>
        <v>1</v>
      </c>
      <c r="H24" s="67"/>
      <c r="I24" s="67"/>
      <c r="J24" s="67"/>
      <c r="K24" s="129">
        <f t="shared" si="7"/>
        <v>77556.776013062205</v>
      </c>
      <c r="L24" s="67">
        <f>'План продаж'!M23/РазбивкаДохода!L19</f>
        <v>6679.5309484933941</v>
      </c>
      <c r="M24" s="67">
        <f>'План продаж'!N23/РазбивкаДохода!L19</f>
        <v>15446.415318390975</v>
      </c>
      <c r="N24" s="67">
        <f>'План продаж'!O23/РазбивкаДохода!M19</f>
        <v>40819.355796348529</v>
      </c>
      <c r="O24" s="67">
        <f>'План продаж'!P23/РазбивкаДохода!L19</f>
        <v>14611.4739498293</v>
      </c>
      <c r="P24" s="67">
        <f t="shared" si="3"/>
        <v>2585.2258671020736</v>
      </c>
      <c r="Q24" s="67">
        <f t="shared" si="4"/>
        <v>272.12903864232356</v>
      </c>
      <c r="R24" s="67">
        <f t="shared" si="5"/>
        <v>77.751153897806731</v>
      </c>
      <c r="S24" s="67">
        <f t="shared" si="6"/>
        <v>7.7751153897806731</v>
      </c>
    </row>
    <row r="25" spans="2:19" x14ac:dyDescent="0.25">
      <c r="B25" s="67">
        <f t="shared" si="9"/>
        <v>18</v>
      </c>
      <c r="C25" s="67">
        <f t="shared" si="8"/>
        <v>8</v>
      </c>
      <c r="D25" s="67">
        <f t="shared" si="0"/>
        <v>2019</v>
      </c>
      <c r="E25" s="122">
        <f>EOMONTH(Настройки!$I$7,'План продаж.Кол-во'!B25)</f>
        <v>43708</v>
      </c>
      <c r="F25" s="67" t="str">
        <f>INDEX(Сезонность!$G$7:$G$18,MATCH(C25,Сезонность!$F$7:$F$18,0),1)</f>
        <v>Лето</v>
      </c>
      <c r="G25" s="134">
        <f t="shared" si="1"/>
        <v>1</v>
      </c>
      <c r="H25" s="67"/>
      <c r="I25" s="67"/>
      <c r="J25" s="67"/>
      <c r="K25" s="129">
        <f t="shared" si="7"/>
        <v>77556.776013062205</v>
      </c>
      <c r="L25" s="67">
        <f>'План продаж'!M24/РазбивкаДохода!L20</f>
        <v>6679.5309484933941</v>
      </c>
      <c r="M25" s="67">
        <f>'План продаж'!N24/РазбивкаДохода!L20</f>
        <v>15446.415318390975</v>
      </c>
      <c r="N25" s="67">
        <f>'План продаж'!O24/РазбивкаДохода!M20</f>
        <v>40819.355796348529</v>
      </c>
      <c r="O25" s="67">
        <f>'План продаж'!P24/РазбивкаДохода!L20</f>
        <v>14611.4739498293</v>
      </c>
      <c r="P25" s="67">
        <f t="shared" si="3"/>
        <v>2585.2258671020736</v>
      </c>
      <c r="Q25" s="67">
        <f t="shared" si="4"/>
        <v>272.12903864232356</v>
      </c>
      <c r="R25" s="67">
        <f t="shared" si="5"/>
        <v>77.751153897806731</v>
      </c>
      <c r="S25" s="67">
        <f t="shared" si="6"/>
        <v>7.7751153897806731</v>
      </c>
    </row>
    <row r="26" spans="2:19" x14ac:dyDescent="0.25">
      <c r="B26" s="67">
        <f t="shared" si="9"/>
        <v>19</v>
      </c>
      <c r="C26" s="67">
        <f t="shared" si="8"/>
        <v>9</v>
      </c>
      <c r="D26" s="67">
        <f t="shared" si="0"/>
        <v>2019</v>
      </c>
      <c r="E26" s="122">
        <f>EOMONTH(Настройки!$I$7,'План продаж.Кол-во'!B26)</f>
        <v>43738</v>
      </c>
      <c r="F26" s="67" t="str">
        <f>INDEX(Сезонность!$G$7:$G$18,MATCH(C26,Сезонность!$F$7:$F$18,0),1)</f>
        <v>Осень</v>
      </c>
      <c r="G26" s="134">
        <f t="shared" si="1"/>
        <v>1</v>
      </c>
      <c r="H26" s="67"/>
      <c r="I26" s="67"/>
      <c r="J26" s="67"/>
      <c r="K26" s="129">
        <f t="shared" si="7"/>
        <v>77556.776013062205</v>
      </c>
      <c r="L26" s="67">
        <f>'План продаж'!M25/РазбивкаДохода!L21</f>
        <v>6679.5309484933941</v>
      </c>
      <c r="M26" s="67">
        <f>'План продаж'!N25/РазбивкаДохода!L21</f>
        <v>15446.415318390975</v>
      </c>
      <c r="N26" s="67">
        <f>'План продаж'!O25/РазбивкаДохода!M21</f>
        <v>40819.355796348529</v>
      </c>
      <c r="O26" s="67">
        <f>'План продаж'!P25/РазбивкаДохода!L21</f>
        <v>14611.4739498293</v>
      </c>
      <c r="P26" s="67">
        <f t="shared" si="3"/>
        <v>2585.2258671020736</v>
      </c>
      <c r="Q26" s="67">
        <f t="shared" si="4"/>
        <v>272.12903864232356</v>
      </c>
      <c r="R26" s="67">
        <f t="shared" si="5"/>
        <v>77.751153897806731</v>
      </c>
      <c r="S26" s="67">
        <f>R26/$O$3/$Q$3</f>
        <v>7.7751153897806731</v>
      </c>
    </row>
    <row r="27" spans="2:19" x14ac:dyDescent="0.25">
      <c r="B27" s="67">
        <f t="shared" si="9"/>
        <v>20</v>
      </c>
      <c r="C27" s="67">
        <f t="shared" si="8"/>
        <v>10</v>
      </c>
      <c r="D27" s="67">
        <f t="shared" si="0"/>
        <v>2019</v>
      </c>
      <c r="E27" s="122">
        <f>EOMONTH(Настройки!$I$7,'План продаж.Кол-во'!B27)</f>
        <v>43769</v>
      </c>
      <c r="F27" s="67" t="str">
        <f>INDEX(Сезонность!$G$7:$G$18,MATCH(C27,Сезонность!$F$7:$F$18,0),1)</f>
        <v>Осень</v>
      </c>
      <c r="G27" s="134">
        <f t="shared" si="1"/>
        <v>1</v>
      </c>
      <c r="H27" s="67"/>
      <c r="I27" s="67"/>
      <c r="J27" s="67"/>
      <c r="K27" s="129">
        <f t="shared" si="7"/>
        <v>103409.03468408293</v>
      </c>
      <c r="L27" s="67">
        <f>'План продаж'!M26/РазбивкаДохода!L22</f>
        <v>8906.0412646578588</v>
      </c>
      <c r="M27" s="67">
        <f>'План продаж'!N26/РазбивкаДохода!L22</f>
        <v>20595.2204245213</v>
      </c>
      <c r="N27" s="67">
        <f>'План продаж'!O26/РазбивкаДохода!M22</f>
        <v>54425.807728464701</v>
      </c>
      <c r="O27" s="67">
        <f>'План продаж'!P26/РазбивкаДохода!L22</f>
        <v>19481.965266439067</v>
      </c>
      <c r="P27" s="67">
        <f t="shared" si="3"/>
        <v>3446.9678228027642</v>
      </c>
      <c r="Q27" s="67">
        <f>P27/9.5</f>
        <v>362.83871818976468</v>
      </c>
      <c r="R27" s="67">
        <f>Q27/3.5</f>
        <v>103.66820519707562</v>
      </c>
      <c r="S27" s="67">
        <f t="shared" si="6"/>
        <v>10.366820519707563</v>
      </c>
    </row>
    <row r="28" spans="2:19" x14ac:dyDescent="0.25">
      <c r="B28" s="67">
        <f t="shared" si="9"/>
        <v>21</v>
      </c>
      <c r="C28" s="67">
        <f t="shared" si="8"/>
        <v>11</v>
      </c>
      <c r="D28" s="67">
        <f t="shared" si="0"/>
        <v>2019</v>
      </c>
      <c r="E28" s="122">
        <f>EOMONTH(Настройки!$I$7,'План продаж.Кол-во'!B28)</f>
        <v>43799</v>
      </c>
      <c r="F28" s="67" t="str">
        <f>INDEX(Сезонность!$G$7:$G$18,MATCH(C28,Сезонность!$F$7:$F$18,0),1)</f>
        <v>Осень</v>
      </c>
      <c r="G28" s="134">
        <f t="shared" si="1"/>
        <v>1</v>
      </c>
      <c r="H28" s="67"/>
      <c r="I28" s="67"/>
      <c r="J28" s="67"/>
      <c r="K28" s="129">
        <f t="shared" si="7"/>
        <v>103409.03468408293</v>
      </c>
      <c r="L28" s="67">
        <f>'План продаж'!M27/РазбивкаДохода!L23</f>
        <v>8906.0412646578588</v>
      </c>
      <c r="M28" s="67">
        <f>'План продаж'!N27/РазбивкаДохода!L23</f>
        <v>20595.2204245213</v>
      </c>
      <c r="N28" s="67">
        <f>'План продаж'!O27/РазбивкаДохода!M23</f>
        <v>54425.807728464701</v>
      </c>
      <c r="O28" s="67">
        <f>'План продаж'!P27/РазбивкаДохода!L23</f>
        <v>19481.965266439067</v>
      </c>
      <c r="P28" s="67">
        <f t="shared" si="3"/>
        <v>3446.9678228027642</v>
      </c>
      <c r="Q28" s="67">
        <f t="shared" si="4"/>
        <v>362.83871818976468</v>
      </c>
      <c r="R28" s="67">
        <f t="shared" si="5"/>
        <v>103.66820519707562</v>
      </c>
      <c r="S28" s="67">
        <f t="shared" si="6"/>
        <v>10.366820519707563</v>
      </c>
    </row>
    <row r="29" spans="2:19" x14ac:dyDescent="0.25">
      <c r="B29" s="67">
        <f t="shared" si="9"/>
        <v>22</v>
      </c>
      <c r="C29" s="67">
        <f t="shared" si="8"/>
        <v>12</v>
      </c>
      <c r="D29" s="67">
        <f t="shared" si="0"/>
        <v>2019</v>
      </c>
      <c r="E29" s="122">
        <f>EOMONTH(Настройки!$I$7,'План продаж.Кол-во'!B29)</f>
        <v>43830</v>
      </c>
      <c r="F29" s="67" t="str">
        <f>INDEX(Сезонность!$G$7:$G$18,MATCH(C29,Сезонность!$F$7:$F$18,0),1)</f>
        <v>Зима</v>
      </c>
      <c r="G29" s="134">
        <f t="shared" si="1"/>
        <v>1</v>
      </c>
      <c r="H29" s="67"/>
      <c r="I29" s="67"/>
      <c r="J29" s="67"/>
      <c r="K29" s="129">
        <f t="shared" si="7"/>
        <v>103409.03468408293</v>
      </c>
      <c r="L29" s="67">
        <f>'План продаж'!M28/РазбивкаДохода!L24</f>
        <v>8906.0412646578588</v>
      </c>
      <c r="M29" s="67">
        <f>'План продаж'!N28/РазбивкаДохода!L24</f>
        <v>20595.2204245213</v>
      </c>
      <c r="N29" s="67">
        <f>'План продаж'!O28/РазбивкаДохода!M24</f>
        <v>54425.807728464701</v>
      </c>
      <c r="O29" s="67">
        <f>'План продаж'!P28/РазбивкаДохода!L24</f>
        <v>19481.965266439067</v>
      </c>
      <c r="P29" s="67">
        <f t="shared" si="3"/>
        <v>3446.9678228027642</v>
      </c>
      <c r="Q29" s="67">
        <f t="shared" si="4"/>
        <v>362.83871818976468</v>
      </c>
      <c r="R29" s="67">
        <f t="shared" si="5"/>
        <v>103.66820519707562</v>
      </c>
      <c r="S29" s="67">
        <f t="shared" si="6"/>
        <v>10.366820519707563</v>
      </c>
    </row>
    <row r="30" spans="2:19" x14ac:dyDescent="0.25">
      <c r="B30" s="67">
        <f t="shared" si="9"/>
        <v>23</v>
      </c>
      <c r="C30" s="67">
        <f t="shared" si="8"/>
        <v>1</v>
      </c>
      <c r="D30" s="67">
        <f t="shared" si="0"/>
        <v>2020</v>
      </c>
      <c r="E30" s="122">
        <f>EOMONTH(Настройки!$I$7,'План продаж.Кол-во'!B30)</f>
        <v>43861</v>
      </c>
      <c r="F30" s="67" t="str">
        <f>INDEX(Сезонность!$G$7:$G$18,MATCH(C30,Сезонность!$F$7:$F$18,0),1)</f>
        <v>Зима</v>
      </c>
      <c r="G30" s="134">
        <f t="shared" si="1"/>
        <v>1</v>
      </c>
      <c r="H30" s="67"/>
      <c r="I30" s="67"/>
      <c r="J30" s="67"/>
      <c r="K30" s="129">
        <f t="shared" si="7"/>
        <v>103409.03468408293</v>
      </c>
      <c r="L30" s="67">
        <f>'План продаж'!M29/РазбивкаДохода!L25</f>
        <v>8906.0412646578588</v>
      </c>
      <c r="M30" s="67">
        <f>'План продаж'!N29/РазбивкаДохода!L25</f>
        <v>20595.2204245213</v>
      </c>
      <c r="N30" s="67">
        <f>'План продаж'!O29/РазбивкаДохода!M25</f>
        <v>54425.807728464701</v>
      </c>
      <c r="O30" s="67">
        <f>'План продаж'!P29/РазбивкаДохода!L25</f>
        <v>19481.965266439067</v>
      </c>
      <c r="P30" s="67">
        <f t="shared" si="3"/>
        <v>3446.9678228027642</v>
      </c>
      <c r="Q30" s="67">
        <f t="shared" si="4"/>
        <v>362.83871818976468</v>
      </c>
      <c r="R30" s="67">
        <f t="shared" si="5"/>
        <v>103.66820519707562</v>
      </c>
      <c r="S30" s="67">
        <f t="shared" si="6"/>
        <v>10.366820519707563</v>
      </c>
    </row>
    <row r="31" spans="2:19" x14ac:dyDescent="0.25">
      <c r="B31" s="67">
        <f t="shared" si="9"/>
        <v>24</v>
      </c>
      <c r="C31" s="67">
        <f t="shared" si="8"/>
        <v>2</v>
      </c>
      <c r="D31" s="67">
        <f t="shared" si="0"/>
        <v>2020</v>
      </c>
      <c r="E31" s="122">
        <f>EOMONTH(Настройки!$I$7,'План продаж.Кол-во'!B31)</f>
        <v>43890</v>
      </c>
      <c r="F31" s="67" t="str">
        <f>INDEX(Сезонность!$G$7:$G$18,MATCH(C31,Сезонность!$F$7:$F$18,0),1)</f>
        <v>Зима</v>
      </c>
      <c r="G31" s="134">
        <f t="shared" si="1"/>
        <v>1</v>
      </c>
      <c r="H31" s="67"/>
      <c r="I31" s="67"/>
      <c r="J31" s="67"/>
      <c r="K31" s="129">
        <f t="shared" si="7"/>
        <v>103409.03468408293</v>
      </c>
      <c r="L31" s="67">
        <f>'План продаж'!M30/РазбивкаДохода!L26</f>
        <v>8906.0412646578588</v>
      </c>
      <c r="M31" s="67">
        <f>'План продаж'!N30/РазбивкаДохода!L26</f>
        <v>20595.2204245213</v>
      </c>
      <c r="N31" s="67">
        <f>'План продаж'!O30/РазбивкаДохода!M26</f>
        <v>54425.807728464701</v>
      </c>
      <c r="O31" s="67">
        <f>'План продаж'!P30/РазбивкаДохода!L26</f>
        <v>19481.965266439067</v>
      </c>
      <c r="P31" s="67">
        <f t="shared" si="3"/>
        <v>3446.9678228027642</v>
      </c>
      <c r="Q31" s="67">
        <f t="shared" si="4"/>
        <v>362.83871818976468</v>
      </c>
      <c r="R31" s="67">
        <f t="shared" si="5"/>
        <v>103.66820519707562</v>
      </c>
      <c r="S31" s="67">
        <f t="shared" si="6"/>
        <v>10.366820519707563</v>
      </c>
    </row>
    <row r="32" spans="2:19" x14ac:dyDescent="0.25">
      <c r="B32" s="67">
        <f t="shared" si="9"/>
        <v>25</v>
      </c>
      <c r="C32" s="67">
        <f t="shared" si="8"/>
        <v>3</v>
      </c>
      <c r="D32" s="67">
        <f t="shared" si="0"/>
        <v>2020</v>
      </c>
      <c r="E32" s="122">
        <f>EOMONTH(Настройки!$I$7,'План продаж.Кол-во'!B32)</f>
        <v>43921</v>
      </c>
      <c r="F32" s="67" t="str">
        <f>INDEX(Сезонность!$G$7:$G$18,MATCH(C32,Сезонность!$F$7:$F$18,0),1)</f>
        <v>Весна</v>
      </c>
      <c r="G32" s="134">
        <f t="shared" si="1"/>
        <v>1</v>
      </c>
      <c r="H32" s="67"/>
      <c r="I32" s="67"/>
      <c r="J32" s="67"/>
      <c r="K32" s="129">
        <f t="shared" si="7"/>
        <v>103409.03468408293</v>
      </c>
      <c r="L32" s="67">
        <f>'План продаж'!M31/РазбивкаДохода!L27</f>
        <v>8906.0412646578588</v>
      </c>
      <c r="M32" s="67">
        <f>'План продаж'!N31/РазбивкаДохода!L27</f>
        <v>20595.2204245213</v>
      </c>
      <c r="N32" s="67">
        <f>'План продаж'!O31/РазбивкаДохода!M27</f>
        <v>54425.807728464701</v>
      </c>
      <c r="O32" s="67">
        <f>'План продаж'!P31/РазбивкаДохода!L27</f>
        <v>19481.965266439067</v>
      </c>
      <c r="P32" s="67">
        <f t="shared" si="3"/>
        <v>3446.9678228027642</v>
      </c>
      <c r="Q32" s="67">
        <f t="shared" si="4"/>
        <v>362.83871818976468</v>
      </c>
      <c r="R32" s="67">
        <f t="shared" si="5"/>
        <v>103.66820519707562</v>
      </c>
      <c r="S32" s="67">
        <f t="shared" si="6"/>
        <v>10.366820519707563</v>
      </c>
    </row>
    <row r="33" spans="2:19" x14ac:dyDescent="0.25">
      <c r="B33" s="67">
        <f t="shared" si="9"/>
        <v>26</v>
      </c>
      <c r="C33" s="67">
        <f t="shared" si="8"/>
        <v>4</v>
      </c>
      <c r="D33" s="67">
        <f t="shared" si="0"/>
        <v>2020</v>
      </c>
      <c r="E33" s="122">
        <f>EOMONTH(Настройки!$I$7,'План продаж.Кол-во'!B33)</f>
        <v>43951</v>
      </c>
      <c r="F33" s="67" t="str">
        <f>INDEX(Сезонность!$G$7:$G$18,MATCH(C33,Сезонность!$F$7:$F$18,0),1)</f>
        <v>Весна</v>
      </c>
      <c r="G33" s="134">
        <f t="shared" si="1"/>
        <v>1</v>
      </c>
      <c r="H33" s="67"/>
      <c r="I33" s="67"/>
      <c r="J33" s="67"/>
      <c r="K33" s="129">
        <f t="shared" si="7"/>
        <v>103409.03468408293</v>
      </c>
      <c r="L33" s="67">
        <f>'План продаж'!M32/РазбивкаДохода!L28</f>
        <v>8906.0412646578588</v>
      </c>
      <c r="M33" s="67">
        <f>'План продаж'!N32/РазбивкаДохода!L28</f>
        <v>20595.2204245213</v>
      </c>
      <c r="N33" s="67">
        <f>'План продаж'!O32/РазбивкаДохода!M28</f>
        <v>54425.807728464701</v>
      </c>
      <c r="O33" s="67">
        <f>'План продаж'!P32/РазбивкаДохода!L28</f>
        <v>19481.965266439067</v>
      </c>
      <c r="P33" s="67">
        <f t="shared" si="3"/>
        <v>3446.9678228027642</v>
      </c>
      <c r="Q33" s="67">
        <f t="shared" si="4"/>
        <v>362.83871818976468</v>
      </c>
      <c r="R33" s="67">
        <f t="shared" si="5"/>
        <v>103.66820519707562</v>
      </c>
      <c r="S33" s="67">
        <f t="shared" si="6"/>
        <v>10.366820519707563</v>
      </c>
    </row>
    <row r="34" spans="2:19" x14ac:dyDescent="0.25">
      <c r="B34" s="67">
        <f t="shared" si="9"/>
        <v>27</v>
      </c>
      <c r="C34" s="67">
        <f t="shared" si="8"/>
        <v>5</v>
      </c>
      <c r="D34" s="67">
        <f t="shared" si="0"/>
        <v>2020</v>
      </c>
      <c r="E34" s="122">
        <f>EOMONTH(Настройки!$I$7,'План продаж.Кол-во'!B34)</f>
        <v>43982</v>
      </c>
      <c r="F34" s="67" t="str">
        <f>INDEX(Сезонность!$G$7:$G$18,MATCH(C34,Сезонность!$F$7:$F$18,0),1)</f>
        <v>Весна</v>
      </c>
      <c r="G34" s="134">
        <f t="shared" si="1"/>
        <v>1</v>
      </c>
      <c r="H34" s="67"/>
      <c r="I34" s="67"/>
      <c r="J34" s="67"/>
      <c r="K34" s="129">
        <f t="shared" si="7"/>
        <v>77556.776013062205</v>
      </c>
      <c r="L34" s="67">
        <f>'План продаж'!M33/РазбивкаДохода!L29</f>
        <v>6679.5309484933941</v>
      </c>
      <c r="M34" s="67">
        <f>'План продаж'!N33/РазбивкаДохода!L29</f>
        <v>15446.415318390975</v>
      </c>
      <c r="N34" s="67">
        <f>'План продаж'!O33/РазбивкаДохода!M29</f>
        <v>40819.355796348529</v>
      </c>
      <c r="O34" s="67">
        <f>'План продаж'!P33/РазбивкаДохода!L29</f>
        <v>14611.4739498293</v>
      </c>
      <c r="P34" s="67">
        <f t="shared" si="3"/>
        <v>2585.2258671020736</v>
      </c>
      <c r="Q34" s="67">
        <f t="shared" si="4"/>
        <v>272.12903864232356</v>
      </c>
      <c r="R34" s="67">
        <f t="shared" si="5"/>
        <v>77.751153897806731</v>
      </c>
      <c r="S34" s="67">
        <f t="shared" si="6"/>
        <v>7.7751153897806731</v>
      </c>
    </row>
    <row r="35" spans="2:19" x14ac:dyDescent="0.25">
      <c r="B35" s="67">
        <f t="shared" si="9"/>
        <v>28</v>
      </c>
      <c r="C35" s="67">
        <f t="shared" si="8"/>
        <v>6</v>
      </c>
      <c r="D35" s="67">
        <f t="shared" si="0"/>
        <v>2020</v>
      </c>
      <c r="E35" s="122">
        <f>EOMONTH(Настройки!$I$7,'План продаж.Кол-во'!B35)</f>
        <v>44012</v>
      </c>
      <c r="F35" s="67" t="str">
        <f>INDEX(Сезонность!$G$7:$G$18,MATCH(C35,Сезонность!$F$7:$F$18,0),1)</f>
        <v>Лето</v>
      </c>
      <c r="G35" s="134">
        <f t="shared" si="1"/>
        <v>1</v>
      </c>
      <c r="H35" s="67"/>
      <c r="I35" s="67"/>
      <c r="J35" s="67"/>
      <c r="K35" s="129">
        <f t="shared" si="7"/>
        <v>77556.776013062205</v>
      </c>
      <c r="L35" s="67">
        <f>'План продаж'!M34/РазбивкаДохода!L30</f>
        <v>6679.5309484933941</v>
      </c>
      <c r="M35" s="67">
        <f>'План продаж'!N34/РазбивкаДохода!L30</f>
        <v>15446.415318390975</v>
      </c>
      <c r="N35" s="67">
        <f>'План продаж'!O34/РазбивкаДохода!M30</f>
        <v>40819.355796348529</v>
      </c>
      <c r="O35" s="67">
        <f>'План продаж'!P34/РазбивкаДохода!L30</f>
        <v>14611.4739498293</v>
      </c>
      <c r="P35" s="67">
        <f t="shared" si="3"/>
        <v>2585.2258671020736</v>
      </c>
      <c r="Q35" s="67">
        <f t="shared" si="4"/>
        <v>272.12903864232356</v>
      </c>
      <c r="R35" s="67">
        <f t="shared" si="5"/>
        <v>77.751153897806731</v>
      </c>
      <c r="S35" s="67">
        <f t="shared" si="6"/>
        <v>7.7751153897806731</v>
      </c>
    </row>
    <row r="36" spans="2:19" x14ac:dyDescent="0.25">
      <c r="B36" s="67">
        <f t="shared" si="9"/>
        <v>29</v>
      </c>
      <c r="C36" s="67">
        <f t="shared" si="8"/>
        <v>7</v>
      </c>
      <c r="D36" s="67">
        <f t="shared" si="0"/>
        <v>2020</v>
      </c>
      <c r="E36" s="122">
        <f>EOMONTH(Настройки!$I$7,'План продаж.Кол-во'!B36)</f>
        <v>44043</v>
      </c>
      <c r="F36" s="67" t="str">
        <f>INDEX(Сезонность!$G$7:$G$18,MATCH(C36,Сезонность!$F$7:$F$18,0),1)</f>
        <v>Лето</v>
      </c>
      <c r="G36" s="134">
        <f t="shared" si="1"/>
        <v>1</v>
      </c>
      <c r="H36" s="67"/>
      <c r="I36" s="67"/>
      <c r="J36" s="67"/>
      <c r="K36" s="129">
        <f t="shared" si="7"/>
        <v>77556.776013062205</v>
      </c>
      <c r="L36" s="67">
        <f>'План продаж'!M35/РазбивкаДохода!L31</f>
        <v>6679.5309484933941</v>
      </c>
      <c r="M36" s="67">
        <f>'План продаж'!N35/РазбивкаДохода!L31</f>
        <v>15446.415318390975</v>
      </c>
      <c r="N36" s="67">
        <f>'План продаж'!O35/РазбивкаДохода!M31</f>
        <v>40819.355796348529</v>
      </c>
      <c r="O36" s="67">
        <f>'План продаж'!P35/РазбивкаДохода!L31</f>
        <v>14611.4739498293</v>
      </c>
      <c r="P36" s="67">
        <f t="shared" si="3"/>
        <v>2585.2258671020736</v>
      </c>
      <c r="Q36" s="67">
        <f t="shared" si="4"/>
        <v>272.12903864232356</v>
      </c>
      <c r="R36" s="67">
        <f t="shared" si="5"/>
        <v>77.751153897806731</v>
      </c>
      <c r="S36" s="67">
        <f t="shared" si="6"/>
        <v>7.7751153897806731</v>
      </c>
    </row>
    <row r="37" spans="2:19" x14ac:dyDescent="0.25">
      <c r="B37" s="67">
        <f t="shared" si="9"/>
        <v>30</v>
      </c>
      <c r="C37" s="67">
        <f t="shared" si="8"/>
        <v>8</v>
      </c>
      <c r="D37" s="67">
        <f t="shared" si="0"/>
        <v>2020</v>
      </c>
      <c r="E37" s="122">
        <f>EOMONTH(Настройки!$I$7,'План продаж.Кол-во'!B37)</f>
        <v>44074</v>
      </c>
      <c r="F37" s="67" t="str">
        <f>INDEX(Сезонность!$G$7:$G$18,MATCH(C37,Сезонность!$F$7:$F$18,0),1)</f>
        <v>Лето</v>
      </c>
      <c r="G37" s="134">
        <f t="shared" si="1"/>
        <v>1</v>
      </c>
      <c r="H37" s="67"/>
      <c r="I37" s="67"/>
      <c r="J37" s="67"/>
      <c r="K37" s="129">
        <f t="shared" si="7"/>
        <v>77556.776013062205</v>
      </c>
      <c r="L37" s="67">
        <f>'План продаж'!M36/РазбивкаДохода!L32</f>
        <v>6679.5309484933941</v>
      </c>
      <c r="M37" s="67">
        <f>'План продаж'!N36/РазбивкаДохода!L32</f>
        <v>15446.415318390975</v>
      </c>
      <c r="N37" s="67">
        <f>'План продаж'!O36/РазбивкаДохода!M32</f>
        <v>40819.355796348529</v>
      </c>
      <c r="O37" s="67">
        <f>'План продаж'!P36/РазбивкаДохода!L32</f>
        <v>14611.4739498293</v>
      </c>
      <c r="P37" s="67">
        <f t="shared" si="3"/>
        <v>2585.2258671020736</v>
      </c>
      <c r="Q37" s="67">
        <f t="shared" si="4"/>
        <v>272.12903864232356</v>
      </c>
      <c r="R37" s="67">
        <f t="shared" si="5"/>
        <v>77.751153897806731</v>
      </c>
      <c r="S37" s="67">
        <f t="shared" si="6"/>
        <v>7.7751153897806731</v>
      </c>
    </row>
    <row r="38" spans="2:19" x14ac:dyDescent="0.25">
      <c r="B38" s="67">
        <f t="shared" si="9"/>
        <v>31</v>
      </c>
      <c r="C38" s="67">
        <f t="shared" si="8"/>
        <v>9</v>
      </c>
      <c r="D38" s="67">
        <f t="shared" si="0"/>
        <v>2020</v>
      </c>
      <c r="E38" s="122">
        <f>EOMONTH(Настройки!$I$7,'План продаж.Кол-во'!B38)</f>
        <v>44104</v>
      </c>
      <c r="F38" s="67" t="str">
        <f>INDEX(Сезонность!$G$7:$G$18,MATCH(C38,Сезонность!$F$7:$F$18,0),1)</f>
        <v>Осень</v>
      </c>
      <c r="G38" s="134">
        <f t="shared" si="1"/>
        <v>1</v>
      </c>
      <c r="H38" s="67"/>
      <c r="I38" s="67"/>
      <c r="J38" s="67"/>
      <c r="K38" s="129">
        <f t="shared" si="7"/>
        <v>77556.776013062205</v>
      </c>
      <c r="L38" s="67">
        <f>'План продаж'!M37/РазбивкаДохода!L33</f>
        <v>6679.5309484933941</v>
      </c>
      <c r="M38" s="67">
        <f>'План продаж'!N37/РазбивкаДохода!L33</f>
        <v>15446.415318390975</v>
      </c>
      <c r="N38" s="67">
        <f>'План продаж'!O37/РазбивкаДохода!M33</f>
        <v>40819.355796348529</v>
      </c>
      <c r="O38" s="67">
        <f>'План продаж'!P37/РазбивкаДохода!L33</f>
        <v>14611.4739498293</v>
      </c>
      <c r="P38" s="67">
        <f t="shared" si="3"/>
        <v>2585.2258671020736</v>
      </c>
      <c r="Q38" s="67">
        <f t="shared" si="4"/>
        <v>272.12903864232356</v>
      </c>
      <c r="R38" s="67">
        <f t="shared" si="5"/>
        <v>77.751153897806731</v>
      </c>
      <c r="S38" s="67">
        <f t="shared" si="6"/>
        <v>7.7751153897806731</v>
      </c>
    </row>
    <row r="39" spans="2:19" x14ac:dyDescent="0.25">
      <c r="B39" s="67">
        <f t="shared" si="9"/>
        <v>32</v>
      </c>
      <c r="C39" s="67">
        <f t="shared" si="8"/>
        <v>10</v>
      </c>
      <c r="D39" s="67">
        <f t="shared" si="0"/>
        <v>2020</v>
      </c>
      <c r="E39" s="122">
        <f>EOMONTH(Настройки!$I$7,'План продаж.Кол-во'!B39)</f>
        <v>44135</v>
      </c>
      <c r="F39" s="67" t="str">
        <f>INDEX(Сезонность!$G$7:$G$18,MATCH(C39,Сезонность!$F$7:$F$18,0),1)</f>
        <v>Осень</v>
      </c>
      <c r="G39" s="134">
        <f t="shared" si="1"/>
        <v>1</v>
      </c>
      <c r="H39" s="67"/>
      <c r="I39" s="67"/>
      <c r="J39" s="67"/>
      <c r="K39" s="129">
        <f t="shared" si="7"/>
        <v>103409.03468408293</v>
      </c>
      <c r="L39" s="67">
        <f>'План продаж'!M38/РазбивкаДохода!L34</f>
        <v>8906.0412646578588</v>
      </c>
      <c r="M39" s="67">
        <f>'План продаж'!N38/РазбивкаДохода!L34</f>
        <v>20595.2204245213</v>
      </c>
      <c r="N39" s="67">
        <f>'План продаж'!O38/РазбивкаДохода!M34</f>
        <v>54425.807728464701</v>
      </c>
      <c r="O39" s="67">
        <f>'План продаж'!P38/РазбивкаДохода!L34</f>
        <v>19481.965266439067</v>
      </c>
      <c r="P39" s="67">
        <f t="shared" si="3"/>
        <v>3446.9678228027642</v>
      </c>
      <c r="Q39" s="67">
        <f t="shared" si="4"/>
        <v>362.83871818976468</v>
      </c>
      <c r="R39" s="67">
        <f t="shared" si="5"/>
        <v>103.66820519707562</v>
      </c>
      <c r="S39" s="67">
        <f t="shared" si="6"/>
        <v>10.366820519707563</v>
      </c>
    </row>
    <row r="40" spans="2:19" x14ac:dyDescent="0.25">
      <c r="B40" s="67">
        <f t="shared" si="9"/>
        <v>33</v>
      </c>
      <c r="C40" s="67">
        <f t="shared" si="8"/>
        <v>11</v>
      </c>
      <c r="D40" s="67">
        <f t="shared" si="0"/>
        <v>2020</v>
      </c>
      <c r="E40" s="122">
        <f>EOMONTH(Настройки!$I$7,'План продаж.Кол-во'!B40)</f>
        <v>44165</v>
      </c>
      <c r="F40" s="67" t="str">
        <f>INDEX(Сезонность!$G$7:$G$18,MATCH(C40,Сезонность!$F$7:$F$18,0),1)</f>
        <v>Осень</v>
      </c>
      <c r="G40" s="134">
        <f t="shared" si="1"/>
        <v>1</v>
      </c>
      <c r="H40" s="67"/>
      <c r="I40" s="67"/>
      <c r="J40" s="67"/>
      <c r="K40" s="129">
        <f t="shared" si="7"/>
        <v>103409.03468408293</v>
      </c>
      <c r="L40" s="67">
        <f>'План продаж'!M39/РазбивкаДохода!L35</f>
        <v>8906.0412646578588</v>
      </c>
      <c r="M40" s="67">
        <f>'План продаж'!N39/РазбивкаДохода!L35</f>
        <v>20595.2204245213</v>
      </c>
      <c r="N40" s="67">
        <f>'План продаж'!O39/РазбивкаДохода!M35</f>
        <v>54425.807728464701</v>
      </c>
      <c r="O40" s="67">
        <f>'План продаж'!P39/РазбивкаДохода!L35</f>
        <v>19481.965266439067</v>
      </c>
      <c r="P40" s="67">
        <f t="shared" si="3"/>
        <v>3446.9678228027642</v>
      </c>
      <c r="Q40" s="67">
        <f t="shared" si="4"/>
        <v>362.83871818976468</v>
      </c>
      <c r="R40" s="67">
        <f t="shared" ref="R40:R67" si="10">Q40/2</f>
        <v>181.41935909488234</v>
      </c>
      <c r="S40" s="67">
        <f t="shared" si="6"/>
        <v>18.141935909488232</v>
      </c>
    </row>
    <row r="41" spans="2:19" x14ac:dyDescent="0.25">
      <c r="B41" s="67">
        <f t="shared" si="9"/>
        <v>34</v>
      </c>
      <c r="C41" s="67">
        <f t="shared" si="8"/>
        <v>12</v>
      </c>
      <c r="D41" s="67">
        <f t="shared" si="0"/>
        <v>2020</v>
      </c>
      <c r="E41" s="122">
        <f>EOMONTH(Настройки!$I$7,'План продаж.Кол-во'!B41)</f>
        <v>44196</v>
      </c>
      <c r="F41" s="67" t="str">
        <f>INDEX(Сезонность!$G$7:$G$18,MATCH(C41,Сезонность!$F$7:$F$18,0),1)</f>
        <v>Зима</v>
      </c>
      <c r="G41" s="134">
        <f t="shared" si="1"/>
        <v>1</v>
      </c>
      <c r="H41" s="67"/>
      <c r="I41" s="67"/>
      <c r="J41" s="67"/>
      <c r="K41" s="129">
        <f t="shared" si="7"/>
        <v>103409.03468408293</v>
      </c>
      <c r="L41" s="67">
        <f>'План продаж'!M40/РазбивкаДохода!L36</f>
        <v>8906.0412646578588</v>
      </c>
      <c r="M41" s="67">
        <f>'План продаж'!N40/РазбивкаДохода!L36</f>
        <v>20595.2204245213</v>
      </c>
      <c r="N41" s="67">
        <f>'План продаж'!O40/РазбивкаДохода!M36</f>
        <v>54425.807728464701</v>
      </c>
      <c r="O41" s="67">
        <f>'План продаж'!P40/РазбивкаДохода!L36</f>
        <v>19481.965266439067</v>
      </c>
      <c r="P41" s="67">
        <f t="shared" si="3"/>
        <v>3446.9678228027642</v>
      </c>
      <c r="Q41" s="67">
        <f t="shared" si="4"/>
        <v>362.83871818976468</v>
      </c>
      <c r="R41" s="67">
        <f t="shared" si="10"/>
        <v>181.41935909488234</v>
      </c>
      <c r="S41" s="67">
        <f t="shared" si="6"/>
        <v>18.141935909488232</v>
      </c>
    </row>
    <row r="42" spans="2:19" x14ac:dyDescent="0.25">
      <c r="B42" s="67">
        <f t="shared" si="9"/>
        <v>35</v>
      </c>
      <c r="C42" s="67">
        <f t="shared" si="8"/>
        <v>1</v>
      </c>
      <c r="D42" s="67">
        <f t="shared" si="0"/>
        <v>2021</v>
      </c>
      <c r="E42" s="122">
        <f>EOMONTH(Настройки!$I$7,'План продаж.Кол-во'!B42)</f>
        <v>44227</v>
      </c>
      <c r="F42" s="67" t="str">
        <f>INDEX(Сезонность!$G$7:$G$18,MATCH(C42,Сезонность!$F$7:$F$18,0),1)</f>
        <v>Зима</v>
      </c>
      <c r="G42" s="134">
        <f t="shared" si="1"/>
        <v>1</v>
      </c>
      <c r="H42" s="67"/>
      <c r="I42" s="67"/>
      <c r="J42" s="67"/>
      <c r="K42" s="129">
        <f t="shared" si="7"/>
        <v>103409.03468408293</v>
      </c>
      <c r="L42" s="67">
        <f>'План продаж'!M41/РазбивкаДохода!L37</f>
        <v>8906.0412646578588</v>
      </c>
      <c r="M42" s="67">
        <f>'План продаж'!N41/РазбивкаДохода!L37</f>
        <v>20595.2204245213</v>
      </c>
      <c r="N42" s="67">
        <f>'План продаж'!O41/РазбивкаДохода!M37</f>
        <v>54425.807728464701</v>
      </c>
      <c r="O42" s="67">
        <f>'План продаж'!P41/РазбивкаДохода!L37</f>
        <v>19481.965266439067</v>
      </c>
      <c r="P42" s="67">
        <f t="shared" si="3"/>
        <v>3446.9678228027642</v>
      </c>
      <c r="Q42" s="67">
        <f t="shared" si="4"/>
        <v>362.83871818976468</v>
      </c>
      <c r="R42" s="67">
        <f t="shared" si="10"/>
        <v>181.41935909488234</v>
      </c>
      <c r="S42" s="67">
        <f t="shared" si="6"/>
        <v>18.141935909488232</v>
      </c>
    </row>
    <row r="43" spans="2:19" x14ac:dyDescent="0.25">
      <c r="B43" s="67">
        <f t="shared" si="9"/>
        <v>36</v>
      </c>
      <c r="C43" s="67">
        <f t="shared" si="8"/>
        <v>2</v>
      </c>
      <c r="D43" s="67">
        <f t="shared" si="0"/>
        <v>2021</v>
      </c>
      <c r="E43" s="122">
        <f>EOMONTH(Настройки!$I$7,'План продаж.Кол-во'!B43)</f>
        <v>44255</v>
      </c>
      <c r="F43" s="67" t="str">
        <f>INDEX(Сезонность!$G$7:$G$18,MATCH(C43,Сезонность!$F$7:$F$18,0),1)</f>
        <v>Зима</v>
      </c>
      <c r="G43" s="134">
        <f t="shared" si="1"/>
        <v>1</v>
      </c>
      <c r="H43" s="67"/>
      <c r="I43" s="67"/>
      <c r="J43" s="67"/>
      <c r="K43" s="129">
        <f t="shared" si="7"/>
        <v>103409.03468408293</v>
      </c>
      <c r="L43" s="67">
        <f>'План продаж'!M42/РазбивкаДохода!L38</f>
        <v>8906.0412646578588</v>
      </c>
      <c r="M43" s="67">
        <f>'План продаж'!N42/РазбивкаДохода!L38</f>
        <v>20595.2204245213</v>
      </c>
      <c r="N43" s="67">
        <f>'План продаж'!O42/РазбивкаДохода!M38</f>
        <v>54425.807728464701</v>
      </c>
      <c r="O43" s="67">
        <f>'План продаж'!P42/РазбивкаДохода!L38</f>
        <v>19481.965266439067</v>
      </c>
      <c r="P43" s="67">
        <f t="shared" si="3"/>
        <v>3446.9678228027642</v>
      </c>
      <c r="Q43" s="67">
        <f t="shared" si="4"/>
        <v>362.83871818976468</v>
      </c>
      <c r="R43" s="67">
        <f t="shared" si="10"/>
        <v>181.41935909488234</v>
      </c>
      <c r="S43" s="67">
        <f t="shared" si="6"/>
        <v>18.141935909488232</v>
      </c>
    </row>
    <row r="44" spans="2:19" x14ac:dyDescent="0.25">
      <c r="B44" s="67">
        <f t="shared" si="9"/>
        <v>37</v>
      </c>
      <c r="C44" s="67">
        <f t="shared" si="8"/>
        <v>3</v>
      </c>
      <c r="D44" s="67">
        <f t="shared" si="0"/>
        <v>2021</v>
      </c>
      <c r="E44" s="122">
        <f>EOMONTH(Настройки!$I$7,'План продаж.Кол-во'!B44)</f>
        <v>44286</v>
      </c>
      <c r="F44" s="67" t="str">
        <f>INDEX(Сезонность!$G$7:$G$18,MATCH(C44,Сезонность!$F$7:$F$18,0),1)</f>
        <v>Весна</v>
      </c>
      <c r="G44" s="134">
        <f t="shared" si="1"/>
        <v>1</v>
      </c>
      <c r="H44" s="67"/>
      <c r="I44" s="67"/>
      <c r="J44" s="67"/>
      <c r="K44" s="129">
        <f t="shared" si="7"/>
        <v>103409.03468408293</v>
      </c>
      <c r="L44" s="67">
        <f>'План продаж'!M43/РазбивкаДохода!L39</f>
        <v>8906.0412646578588</v>
      </c>
      <c r="M44" s="67">
        <f>'План продаж'!N43/РазбивкаДохода!L39</f>
        <v>20595.2204245213</v>
      </c>
      <c r="N44" s="67">
        <f>'План продаж'!O43/РазбивкаДохода!M39</f>
        <v>54425.807728464701</v>
      </c>
      <c r="O44" s="67">
        <f>'План продаж'!P43/РазбивкаДохода!L39</f>
        <v>19481.965266439067</v>
      </c>
      <c r="P44" s="67">
        <f t="shared" si="3"/>
        <v>3446.9678228027642</v>
      </c>
      <c r="Q44" s="67">
        <f t="shared" si="4"/>
        <v>362.83871818976468</v>
      </c>
      <c r="R44" s="67">
        <f t="shared" si="10"/>
        <v>181.41935909488234</v>
      </c>
      <c r="S44" s="67">
        <f t="shared" si="6"/>
        <v>18.141935909488232</v>
      </c>
    </row>
    <row r="45" spans="2:19" x14ac:dyDescent="0.25">
      <c r="B45" s="67">
        <f t="shared" si="9"/>
        <v>38</v>
      </c>
      <c r="C45" s="67">
        <f t="shared" si="8"/>
        <v>4</v>
      </c>
      <c r="D45" s="67">
        <f t="shared" si="0"/>
        <v>2021</v>
      </c>
      <c r="E45" s="122">
        <f>EOMONTH(Настройки!$I$7,'План продаж.Кол-во'!B45)</f>
        <v>44316</v>
      </c>
      <c r="F45" s="67" t="str">
        <f>INDEX(Сезонность!$G$7:$G$18,MATCH(C45,Сезонность!$F$7:$F$18,0),1)</f>
        <v>Весна</v>
      </c>
      <c r="G45" s="134">
        <f t="shared" si="1"/>
        <v>1</v>
      </c>
      <c r="H45" s="67"/>
      <c r="I45" s="67"/>
      <c r="J45" s="67"/>
      <c r="K45" s="129">
        <f t="shared" si="7"/>
        <v>103409.03468408293</v>
      </c>
      <c r="L45" s="67">
        <f>'План продаж'!M44/РазбивкаДохода!L40</f>
        <v>8906.0412646578588</v>
      </c>
      <c r="M45" s="67">
        <f>'План продаж'!N44/РазбивкаДохода!L40</f>
        <v>20595.2204245213</v>
      </c>
      <c r="N45" s="67">
        <f>'План продаж'!O44/РазбивкаДохода!M40</f>
        <v>54425.807728464701</v>
      </c>
      <c r="O45" s="67">
        <f>'План продаж'!P44/РазбивкаДохода!L40</f>
        <v>19481.965266439067</v>
      </c>
      <c r="P45" s="67">
        <f t="shared" si="3"/>
        <v>3446.9678228027642</v>
      </c>
      <c r="Q45" s="67">
        <f t="shared" si="4"/>
        <v>362.83871818976468</v>
      </c>
      <c r="R45" s="67">
        <f t="shared" si="10"/>
        <v>181.41935909488234</v>
      </c>
      <c r="S45" s="67">
        <f t="shared" si="6"/>
        <v>18.141935909488232</v>
      </c>
    </row>
    <row r="46" spans="2:19" x14ac:dyDescent="0.25">
      <c r="B46" s="67">
        <f t="shared" si="9"/>
        <v>39</v>
      </c>
      <c r="C46" s="67">
        <f t="shared" si="8"/>
        <v>5</v>
      </c>
      <c r="D46" s="67">
        <f t="shared" si="0"/>
        <v>2021</v>
      </c>
      <c r="E46" s="122">
        <f>EOMONTH(Настройки!$I$7,'План продаж.Кол-во'!B46)</f>
        <v>44347</v>
      </c>
      <c r="F46" s="67" t="str">
        <f>INDEX(Сезонность!$G$7:$G$18,MATCH(C46,Сезонность!$F$7:$F$18,0),1)</f>
        <v>Весна</v>
      </c>
      <c r="G46" s="134">
        <f t="shared" si="1"/>
        <v>1</v>
      </c>
      <c r="H46" s="67"/>
      <c r="I46" s="67"/>
      <c r="J46" s="67"/>
      <c r="K46" s="129">
        <f t="shared" si="7"/>
        <v>77556.776013062205</v>
      </c>
      <c r="L46" s="67">
        <f>'План продаж'!M45/РазбивкаДохода!L41</f>
        <v>6679.5309484933941</v>
      </c>
      <c r="M46" s="67">
        <f>'План продаж'!N45/РазбивкаДохода!L41</f>
        <v>15446.415318390975</v>
      </c>
      <c r="N46" s="67">
        <f>'План продаж'!O45/РазбивкаДохода!M41</f>
        <v>40819.355796348529</v>
      </c>
      <c r="O46" s="67">
        <f>'План продаж'!P45/РазбивкаДохода!L41</f>
        <v>14611.4739498293</v>
      </c>
      <c r="P46" s="67">
        <f t="shared" si="3"/>
        <v>2585.2258671020736</v>
      </c>
      <c r="Q46" s="67">
        <f t="shared" si="4"/>
        <v>272.12903864232356</v>
      </c>
      <c r="R46" s="67">
        <f t="shared" si="10"/>
        <v>136.06451932116178</v>
      </c>
      <c r="S46" s="67">
        <f t="shared" si="6"/>
        <v>13.606451932116178</v>
      </c>
    </row>
    <row r="47" spans="2:19" x14ac:dyDescent="0.25">
      <c r="B47" s="67">
        <f t="shared" si="9"/>
        <v>40</v>
      </c>
      <c r="C47" s="67">
        <f t="shared" si="8"/>
        <v>6</v>
      </c>
      <c r="D47" s="67">
        <f t="shared" si="0"/>
        <v>2021</v>
      </c>
      <c r="E47" s="122">
        <f>EOMONTH(Настройки!$I$7,'План продаж.Кол-во'!B47)</f>
        <v>44377</v>
      </c>
      <c r="F47" s="67" t="str">
        <f>INDEX(Сезонность!$G$7:$G$18,MATCH(C47,Сезонность!$F$7:$F$18,0),1)</f>
        <v>Лето</v>
      </c>
      <c r="G47" s="134">
        <f t="shared" si="1"/>
        <v>1</v>
      </c>
      <c r="H47" s="67"/>
      <c r="I47" s="67"/>
      <c r="J47" s="67"/>
      <c r="K47" s="129">
        <f t="shared" si="7"/>
        <v>77556.776013062205</v>
      </c>
      <c r="L47" s="67">
        <f>'План продаж'!M46/РазбивкаДохода!L42</f>
        <v>6679.5309484933941</v>
      </c>
      <c r="M47" s="67">
        <f>'План продаж'!N46/РазбивкаДохода!L42</f>
        <v>15446.415318390975</v>
      </c>
      <c r="N47" s="67">
        <f>'План продаж'!O46/РазбивкаДохода!M42</f>
        <v>40819.355796348529</v>
      </c>
      <c r="O47" s="67">
        <f>'План продаж'!P46/РазбивкаДохода!L42</f>
        <v>14611.4739498293</v>
      </c>
      <c r="P47" s="67">
        <f t="shared" si="3"/>
        <v>2585.2258671020736</v>
      </c>
      <c r="Q47" s="67">
        <f t="shared" si="4"/>
        <v>272.12903864232356</v>
      </c>
      <c r="R47" s="67">
        <f t="shared" si="10"/>
        <v>136.06451932116178</v>
      </c>
      <c r="S47" s="67">
        <f t="shared" si="6"/>
        <v>13.606451932116178</v>
      </c>
    </row>
    <row r="48" spans="2:19" x14ac:dyDescent="0.25">
      <c r="B48" s="67">
        <f t="shared" si="9"/>
        <v>41</v>
      </c>
      <c r="C48" s="67">
        <f t="shared" si="8"/>
        <v>7</v>
      </c>
      <c r="D48" s="67">
        <f t="shared" si="0"/>
        <v>2021</v>
      </c>
      <c r="E48" s="122">
        <f>EOMONTH(Настройки!$I$7,'План продаж.Кол-во'!B48)</f>
        <v>44408</v>
      </c>
      <c r="F48" s="67" t="str">
        <f>INDEX(Сезонность!$G$7:$G$18,MATCH(C48,Сезонность!$F$7:$F$18,0),1)</f>
        <v>Лето</v>
      </c>
      <c r="G48" s="134">
        <f t="shared" si="1"/>
        <v>1</v>
      </c>
      <c r="H48" s="67"/>
      <c r="I48" s="67"/>
      <c r="J48" s="67"/>
      <c r="K48" s="129">
        <f t="shared" si="7"/>
        <v>77556.776013062205</v>
      </c>
      <c r="L48" s="67">
        <f>'План продаж'!M47/РазбивкаДохода!L43</f>
        <v>6679.5309484933941</v>
      </c>
      <c r="M48" s="67">
        <f>'План продаж'!N47/РазбивкаДохода!L43</f>
        <v>15446.415318390975</v>
      </c>
      <c r="N48" s="67">
        <f>'План продаж'!O47/РазбивкаДохода!M43</f>
        <v>40819.355796348529</v>
      </c>
      <c r="O48" s="67">
        <f>'План продаж'!P47/РазбивкаДохода!L43</f>
        <v>14611.4739498293</v>
      </c>
      <c r="P48" s="67">
        <f t="shared" si="3"/>
        <v>2585.2258671020736</v>
      </c>
      <c r="Q48" s="67">
        <f t="shared" si="4"/>
        <v>272.12903864232356</v>
      </c>
      <c r="R48" s="67">
        <f t="shared" si="10"/>
        <v>136.06451932116178</v>
      </c>
      <c r="S48" s="67">
        <f t="shared" si="6"/>
        <v>13.606451932116178</v>
      </c>
    </row>
    <row r="49" spans="2:19" x14ac:dyDescent="0.25">
      <c r="B49" s="67">
        <f t="shared" si="9"/>
        <v>42</v>
      </c>
      <c r="C49" s="67">
        <f t="shared" si="8"/>
        <v>8</v>
      </c>
      <c r="D49" s="67">
        <f t="shared" si="0"/>
        <v>2021</v>
      </c>
      <c r="E49" s="122">
        <f>EOMONTH(Настройки!$I$7,'План продаж.Кол-во'!B49)</f>
        <v>44439</v>
      </c>
      <c r="F49" s="67" t="str">
        <f>INDEX(Сезонность!$G$7:$G$18,MATCH(C49,Сезонность!$F$7:$F$18,0),1)</f>
        <v>Лето</v>
      </c>
      <c r="G49" s="134">
        <f t="shared" si="1"/>
        <v>1</v>
      </c>
      <c r="H49" s="67"/>
      <c r="I49" s="67"/>
      <c r="J49" s="67"/>
      <c r="K49" s="129">
        <f t="shared" si="7"/>
        <v>77556.776013062205</v>
      </c>
      <c r="L49" s="67">
        <f>'План продаж'!M48/РазбивкаДохода!L44</f>
        <v>6679.5309484933941</v>
      </c>
      <c r="M49" s="67">
        <f>'План продаж'!N48/РазбивкаДохода!L44</f>
        <v>15446.415318390975</v>
      </c>
      <c r="N49" s="67">
        <f>'План продаж'!O48/РазбивкаДохода!M44</f>
        <v>40819.355796348529</v>
      </c>
      <c r="O49" s="67">
        <f>'План продаж'!P48/РазбивкаДохода!L44</f>
        <v>14611.4739498293</v>
      </c>
      <c r="P49" s="67">
        <f t="shared" si="3"/>
        <v>2585.2258671020736</v>
      </c>
      <c r="Q49" s="67">
        <f t="shared" si="4"/>
        <v>272.12903864232356</v>
      </c>
      <c r="R49" s="67">
        <f t="shared" si="10"/>
        <v>136.06451932116178</v>
      </c>
      <c r="S49" s="67">
        <f t="shared" si="6"/>
        <v>13.606451932116178</v>
      </c>
    </row>
    <row r="50" spans="2:19" x14ac:dyDescent="0.25">
      <c r="B50" s="67">
        <f t="shared" si="9"/>
        <v>43</v>
      </c>
      <c r="C50" s="67">
        <f t="shared" si="8"/>
        <v>9</v>
      </c>
      <c r="D50" s="67">
        <f t="shared" si="0"/>
        <v>2021</v>
      </c>
      <c r="E50" s="122">
        <f>EOMONTH(Настройки!$I$7,'План продаж.Кол-во'!B50)</f>
        <v>44469</v>
      </c>
      <c r="F50" s="67" t="str">
        <f>INDEX(Сезонность!$G$7:$G$18,MATCH(C50,Сезонность!$F$7:$F$18,0),1)</f>
        <v>Осень</v>
      </c>
      <c r="G50" s="134">
        <f t="shared" si="1"/>
        <v>1</v>
      </c>
      <c r="H50" s="67"/>
      <c r="I50" s="67"/>
      <c r="J50" s="67"/>
      <c r="K50" s="129">
        <f t="shared" si="7"/>
        <v>77556.776013062205</v>
      </c>
      <c r="L50" s="67">
        <f>'План продаж'!M49/РазбивкаДохода!L45</f>
        <v>6679.5309484933941</v>
      </c>
      <c r="M50" s="67">
        <f>'План продаж'!N49/РазбивкаДохода!L45</f>
        <v>15446.415318390975</v>
      </c>
      <c r="N50" s="67">
        <f>'План продаж'!O49/РазбивкаДохода!M45</f>
        <v>40819.355796348529</v>
      </c>
      <c r="O50" s="67">
        <f>'План продаж'!P49/РазбивкаДохода!L45</f>
        <v>14611.4739498293</v>
      </c>
      <c r="P50" s="67">
        <f t="shared" si="3"/>
        <v>2585.2258671020736</v>
      </c>
      <c r="Q50" s="67">
        <f t="shared" si="4"/>
        <v>272.12903864232356</v>
      </c>
      <c r="R50" s="67">
        <f t="shared" si="10"/>
        <v>136.06451932116178</v>
      </c>
      <c r="S50" s="67">
        <f t="shared" si="6"/>
        <v>13.606451932116178</v>
      </c>
    </row>
    <row r="51" spans="2:19" x14ac:dyDescent="0.25">
      <c r="B51" s="67">
        <f t="shared" si="9"/>
        <v>44</v>
      </c>
      <c r="C51" s="67">
        <f t="shared" si="8"/>
        <v>10</v>
      </c>
      <c r="D51" s="67">
        <f t="shared" si="0"/>
        <v>2021</v>
      </c>
      <c r="E51" s="122">
        <f>EOMONTH(Настройки!$I$7,'План продаж.Кол-во'!B51)</f>
        <v>44500</v>
      </c>
      <c r="F51" s="67" t="str">
        <f>INDEX(Сезонность!$G$7:$G$18,MATCH(C51,Сезонность!$F$7:$F$18,0),1)</f>
        <v>Осень</v>
      </c>
      <c r="G51" s="134">
        <f t="shared" si="1"/>
        <v>1</v>
      </c>
      <c r="H51" s="67"/>
      <c r="I51" s="67"/>
      <c r="J51" s="67"/>
      <c r="K51" s="129">
        <f t="shared" si="7"/>
        <v>103409.03468408293</v>
      </c>
      <c r="L51" s="67">
        <f>'План продаж'!M50/РазбивкаДохода!L46</f>
        <v>8906.0412646578588</v>
      </c>
      <c r="M51" s="67">
        <f>'План продаж'!N50/РазбивкаДохода!L46</f>
        <v>20595.2204245213</v>
      </c>
      <c r="N51" s="67">
        <f>'План продаж'!O50/РазбивкаДохода!M46</f>
        <v>54425.807728464701</v>
      </c>
      <c r="O51" s="67">
        <f>'План продаж'!P50/РазбивкаДохода!L46</f>
        <v>19481.965266439067</v>
      </c>
      <c r="P51" s="67">
        <f t="shared" si="3"/>
        <v>3446.9678228027642</v>
      </c>
      <c r="Q51" s="67">
        <f t="shared" si="4"/>
        <v>362.83871818976468</v>
      </c>
      <c r="R51" s="67">
        <f t="shared" si="10"/>
        <v>181.41935909488234</v>
      </c>
      <c r="S51" s="67">
        <f t="shared" si="6"/>
        <v>18.141935909488232</v>
      </c>
    </row>
    <row r="52" spans="2:19" x14ac:dyDescent="0.25">
      <c r="B52" s="67">
        <f t="shared" si="9"/>
        <v>45</v>
      </c>
      <c r="C52" s="67">
        <f t="shared" si="8"/>
        <v>11</v>
      </c>
      <c r="D52" s="67">
        <f t="shared" si="0"/>
        <v>2021</v>
      </c>
      <c r="E52" s="122">
        <f>EOMONTH(Настройки!$I$7,'План продаж.Кол-во'!B52)</f>
        <v>44530</v>
      </c>
      <c r="F52" s="67" t="str">
        <f>INDEX(Сезонность!$G$7:$G$18,MATCH(C52,Сезонность!$F$7:$F$18,0),1)</f>
        <v>Осень</v>
      </c>
      <c r="G52" s="134">
        <f t="shared" si="1"/>
        <v>1</v>
      </c>
      <c r="H52" s="67"/>
      <c r="I52" s="67"/>
      <c r="J52" s="67"/>
      <c r="K52" s="129">
        <f t="shared" si="7"/>
        <v>103409.03468408293</v>
      </c>
      <c r="L52" s="67">
        <f>'План продаж'!M51/РазбивкаДохода!L47</f>
        <v>8906.0412646578588</v>
      </c>
      <c r="M52" s="67">
        <f>'План продаж'!N51/РазбивкаДохода!L47</f>
        <v>20595.2204245213</v>
      </c>
      <c r="N52" s="67">
        <f>'План продаж'!O51/РазбивкаДохода!M47</f>
        <v>54425.807728464701</v>
      </c>
      <c r="O52" s="67">
        <f>'План продаж'!P51/РазбивкаДохода!L47</f>
        <v>19481.965266439067</v>
      </c>
      <c r="P52" s="67">
        <f t="shared" si="3"/>
        <v>3446.9678228027642</v>
      </c>
      <c r="Q52" s="67">
        <f t="shared" si="4"/>
        <v>362.83871818976468</v>
      </c>
      <c r="R52" s="67">
        <f t="shared" si="10"/>
        <v>181.41935909488234</v>
      </c>
      <c r="S52" s="67">
        <f t="shared" si="6"/>
        <v>18.141935909488232</v>
      </c>
    </row>
    <row r="53" spans="2:19" x14ac:dyDescent="0.25">
      <c r="B53" s="67">
        <f t="shared" si="9"/>
        <v>46</v>
      </c>
      <c r="C53" s="67">
        <f t="shared" si="8"/>
        <v>12</v>
      </c>
      <c r="D53" s="67">
        <f t="shared" si="0"/>
        <v>2021</v>
      </c>
      <c r="E53" s="122">
        <f>EOMONTH(Настройки!$I$7,'План продаж.Кол-во'!B53)</f>
        <v>44561</v>
      </c>
      <c r="F53" s="67" t="str">
        <f>INDEX(Сезонность!$G$7:$G$18,MATCH(C53,Сезонность!$F$7:$F$18,0),1)</f>
        <v>Зима</v>
      </c>
      <c r="G53" s="134">
        <f t="shared" si="1"/>
        <v>1</v>
      </c>
      <c r="H53" s="67"/>
      <c r="I53" s="67"/>
      <c r="J53" s="67"/>
      <c r="K53" s="129">
        <f t="shared" si="7"/>
        <v>103409.03468408293</v>
      </c>
      <c r="L53" s="67">
        <f>'План продаж'!M52/РазбивкаДохода!L48</f>
        <v>8906.0412646578588</v>
      </c>
      <c r="M53" s="67">
        <f>'План продаж'!N52/РазбивкаДохода!L48</f>
        <v>20595.2204245213</v>
      </c>
      <c r="N53" s="67">
        <f>'План продаж'!O52/РазбивкаДохода!M48</f>
        <v>54425.807728464701</v>
      </c>
      <c r="O53" s="67">
        <f>'План продаж'!P52/РазбивкаДохода!L48</f>
        <v>19481.965266439067</v>
      </c>
      <c r="P53" s="67">
        <f t="shared" si="3"/>
        <v>3446.9678228027642</v>
      </c>
      <c r="Q53" s="67">
        <f t="shared" si="4"/>
        <v>362.83871818976468</v>
      </c>
      <c r="R53" s="67">
        <f t="shared" si="10"/>
        <v>181.41935909488234</v>
      </c>
      <c r="S53" s="67">
        <f t="shared" si="6"/>
        <v>18.141935909488232</v>
      </c>
    </row>
    <row r="54" spans="2:19" x14ac:dyDescent="0.25">
      <c r="B54" s="67">
        <f t="shared" si="9"/>
        <v>47</v>
      </c>
      <c r="C54" s="67">
        <f t="shared" si="8"/>
        <v>1</v>
      </c>
      <c r="D54" s="67">
        <f t="shared" si="0"/>
        <v>2022</v>
      </c>
      <c r="E54" s="122">
        <f>EOMONTH(Настройки!$I$7,'План продаж.Кол-во'!B54)</f>
        <v>44592</v>
      </c>
      <c r="F54" s="67" t="str">
        <f>INDEX(Сезонность!$G$7:$G$18,MATCH(C54,Сезонность!$F$7:$F$18,0),1)</f>
        <v>Зима</v>
      </c>
      <c r="G54" s="134">
        <f t="shared" si="1"/>
        <v>1</v>
      </c>
      <c r="H54" s="67"/>
      <c r="I54" s="67"/>
      <c r="J54" s="67"/>
      <c r="K54" s="129">
        <f t="shared" si="7"/>
        <v>103409.03468408293</v>
      </c>
      <c r="L54" s="67">
        <f>'План продаж'!M53/РазбивкаДохода!L49</f>
        <v>8906.0412646578588</v>
      </c>
      <c r="M54" s="67">
        <f>'План продаж'!N53/РазбивкаДохода!L49</f>
        <v>20595.2204245213</v>
      </c>
      <c r="N54" s="67">
        <f>'План продаж'!O53/РазбивкаДохода!M49</f>
        <v>54425.807728464701</v>
      </c>
      <c r="O54" s="67">
        <f>'План продаж'!P53/РазбивкаДохода!L49</f>
        <v>19481.965266439067</v>
      </c>
      <c r="P54" s="67">
        <f t="shared" si="3"/>
        <v>3446.9678228027642</v>
      </c>
      <c r="Q54" s="67">
        <f t="shared" si="4"/>
        <v>362.83871818976468</v>
      </c>
      <c r="R54" s="67">
        <f t="shared" si="10"/>
        <v>181.41935909488234</v>
      </c>
      <c r="S54" s="67">
        <f t="shared" si="6"/>
        <v>18.141935909488232</v>
      </c>
    </row>
    <row r="55" spans="2:19" x14ac:dyDescent="0.25">
      <c r="B55" s="67">
        <f t="shared" si="9"/>
        <v>48</v>
      </c>
      <c r="C55" s="67">
        <f t="shared" si="8"/>
        <v>2</v>
      </c>
      <c r="D55" s="67">
        <f t="shared" si="0"/>
        <v>2022</v>
      </c>
      <c r="E55" s="122">
        <f>EOMONTH(Настройки!$I$7,'План продаж.Кол-во'!B55)</f>
        <v>44620</v>
      </c>
      <c r="F55" s="67" t="str">
        <f>INDEX(Сезонность!$G$7:$G$18,MATCH(C55,Сезонность!$F$7:$F$18,0),1)</f>
        <v>Зима</v>
      </c>
      <c r="G55" s="134">
        <f t="shared" si="1"/>
        <v>1</v>
      </c>
      <c r="H55" s="67"/>
      <c r="I55" s="67"/>
      <c r="J55" s="67"/>
      <c r="K55" s="129">
        <f t="shared" si="7"/>
        <v>103409.03468408293</v>
      </c>
      <c r="L55" s="67">
        <f>'План продаж'!M54/РазбивкаДохода!L50</f>
        <v>8906.0412646578588</v>
      </c>
      <c r="M55" s="67">
        <f>'План продаж'!N54/РазбивкаДохода!L50</f>
        <v>20595.2204245213</v>
      </c>
      <c r="N55" s="67">
        <f>'План продаж'!O54/РазбивкаДохода!M50</f>
        <v>54425.807728464701</v>
      </c>
      <c r="O55" s="67">
        <f>'План продаж'!P54/РазбивкаДохода!L50</f>
        <v>19481.965266439067</v>
      </c>
      <c r="P55" s="67">
        <f t="shared" si="3"/>
        <v>3446.9678228027642</v>
      </c>
      <c r="Q55" s="67">
        <f t="shared" si="4"/>
        <v>362.83871818976468</v>
      </c>
      <c r="R55" s="67">
        <f t="shared" si="10"/>
        <v>181.41935909488234</v>
      </c>
      <c r="S55" s="67">
        <f t="shared" si="6"/>
        <v>18.141935909488232</v>
      </c>
    </row>
    <row r="56" spans="2:19" x14ac:dyDescent="0.25">
      <c r="B56" s="67">
        <f t="shared" si="9"/>
        <v>49</v>
      </c>
      <c r="C56" s="67">
        <f t="shared" si="8"/>
        <v>3</v>
      </c>
      <c r="D56" s="67">
        <f t="shared" si="0"/>
        <v>2022</v>
      </c>
      <c r="E56" s="122">
        <f>EOMONTH(Настройки!$I$7,'План продаж.Кол-во'!B56)</f>
        <v>44651</v>
      </c>
      <c r="F56" s="67" t="str">
        <f>INDEX(Сезонность!$G$7:$G$18,MATCH(C56,Сезонность!$F$7:$F$18,0),1)</f>
        <v>Весна</v>
      </c>
      <c r="G56" s="134">
        <f t="shared" si="1"/>
        <v>1</v>
      </c>
      <c r="H56" s="67"/>
      <c r="I56" s="67"/>
      <c r="J56" s="67"/>
      <c r="K56" s="129">
        <f t="shared" si="7"/>
        <v>103409.03468408293</v>
      </c>
      <c r="L56" s="67">
        <f>'План продаж'!M55/РазбивкаДохода!L51</f>
        <v>8906.0412646578588</v>
      </c>
      <c r="M56" s="67">
        <f>'План продаж'!N55/РазбивкаДохода!L51</f>
        <v>20595.2204245213</v>
      </c>
      <c r="N56" s="67">
        <f>'План продаж'!O55/РазбивкаДохода!M51</f>
        <v>54425.807728464701</v>
      </c>
      <c r="O56" s="67">
        <f>'План продаж'!P55/РазбивкаДохода!L51</f>
        <v>19481.965266439067</v>
      </c>
      <c r="P56" s="67">
        <f t="shared" si="3"/>
        <v>3446.9678228027642</v>
      </c>
      <c r="Q56" s="67">
        <f t="shared" si="4"/>
        <v>362.83871818976468</v>
      </c>
      <c r="R56" s="67">
        <f t="shared" si="10"/>
        <v>181.41935909488234</v>
      </c>
      <c r="S56" s="67">
        <f t="shared" si="6"/>
        <v>18.141935909488232</v>
      </c>
    </row>
    <row r="57" spans="2:19" x14ac:dyDescent="0.25">
      <c r="B57" s="67">
        <f t="shared" si="9"/>
        <v>50</v>
      </c>
      <c r="C57" s="67">
        <f t="shared" si="8"/>
        <v>4</v>
      </c>
      <c r="D57" s="67">
        <f t="shared" si="0"/>
        <v>2022</v>
      </c>
      <c r="E57" s="122">
        <f>EOMONTH(Настройки!$I$7,'План продаж.Кол-во'!B57)</f>
        <v>44681</v>
      </c>
      <c r="F57" s="67" t="str">
        <f>INDEX(Сезонность!$G$7:$G$18,MATCH(C57,Сезонность!$F$7:$F$18,0),1)</f>
        <v>Весна</v>
      </c>
      <c r="G57" s="134">
        <f t="shared" si="1"/>
        <v>1</v>
      </c>
      <c r="H57" s="67"/>
      <c r="I57" s="67"/>
      <c r="J57" s="67"/>
      <c r="K57" s="129">
        <f t="shared" si="7"/>
        <v>103409.03468408293</v>
      </c>
      <c r="L57" s="67">
        <f>'План продаж'!M56/РазбивкаДохода!L52</f>
        <v>8906.0412646578588</v>
      </c>
      <c r="M57" s="67">
        <f>'План продаж'!N56/РазбивкаДохода!L52</f>
        <v>20595.2204245213</v>
      </c>
      <c r="N57" s="67">
        <f>'План продаж'!O56/РазбивкаДохода!M52</f>
        <v>54425.807728464701</v>
      </c>
      <c r="O57" s="67">
        <f>'План продаж'!P56/РазбивкаДохода!L52</f>
        <v>19481.965266439067</v>
      </c>
      <c r="P57" s="67">
        <f t="shared" si="3"/>
        <v>3446.9678228027642</v>
      </c>
      <c r="Q57" s="67">
        <f t="shared" si="4"/>
        <v>362.83871818976468</v>
      </c>
      <c r="R57" s="67">
        <f t="shared" si="10"/>
        <v>181.41935909488234</v>
      </c>
      <c r="S57" s="67">
        <f t="shared" si="6"/>
        <v>18.141935909488232</v>
      </c>
    </row>
    <row r="58" spans="2:19" x14ac:dyDescent="0.25">
      <c r="B58" s="67">
        <f t="shared" si="9"/>
        <v>51</v>
      </c>
      <c r="C58" s="67">
        <f t="shared" si="8"/>
        <v>5</v>
      </c>
      <c r="D58" s="67">
        <f t="shared" si="0"/>
        <v>2022</v>
      </c>
      <c r="E58" s="122">
        <f>EOMONTH(Настройки!$I$7,'План продаж.Кол-во'!B58)</f>
        <v>44712</v>
      </c>
      <c r="F58" s="67" t="str">
        <f>INDEX(Сезонность!$G$7:$G$18,MATCH(C58,Сезонность!$F$7:$F$18,0),1)</f>
        <v>Весна</v>
      </c>
      <c r="G58" s="134">
        <f t="shared" si="1"/>
        <v>1</v>
      </c>
      <c r="H58" s="67"/>
      <c r="I58" s="67"/>
      <c r="J58" s="67"/>
      <c r="K58" s="129">
        <f t="shared" si="7"/>
        <v>77556.776013062205</v>
      </c>
      <c r="L58" s="67">
        <f>'План продаж'!M57/РазбивкаДохода!L53</f>
        <v>6679.5309484933941</v>
      </c>
      <c r="M58" s="67">
        <f>'План продаж'!N57/РазбивкаДохода!L53</f>
        <v>15446.415318390975</v>
      </c>
      <c r="N58" s="67">
        <f>'План продаж'!O57/РазбивкаДохода!M53</f>
        <v>40819.355796348529</v>
      </c>
      <c r="O58" s="67">
        <f>'План продаж'!P57/РазбивкаДохода!L53</f>
        <v>14611.4739498293</v>
      </c>
      <c r="P58" s="67">
        <f t="shared" si="3"/>
        <v>2585.2258671020736</v>
      </c>
      <c r="Q58" s="67">
        <f t="shared" si="4"/>
        <v>272.12903864232356</v>
      </c>
      <c r="R58" s="67">
        <f t="shared" si="10"/>
        <v>136.06451932116178</v>
      </c>
      <c r="S58" s="67">
        <f t="shared" si="6"/>
        <v>13.606451932116178</v>
      </c>
    </row>
    <row r="59" spans="2:19" x14ac:dyDescent="0.25">
      <c r="B59" s="67">
        <f t="shared" si="9"/>
        <v>52</v>
      </c>
      <c r="C59" s="67">
        <f t="shared" si="8"/>
        <v>6</v>
      </c>
      <c r="D59" s="67">
        <f t="shared" si="0"/>
        <v>2022</v>
      </c>
      <c r="E59" s="122">
        <f>EOMONTH(Настройки!$I$7,'План продаж.Кол-во'!B59)</f>
        <v>44742</v>
      </c>
      <c r="F59" s="67" t="str">
        <f>INDEX(Сезонность!$G$7:$G$18,MATCH(C59,Сезонность!$F$7:$F$18,0),1)</f>
        <v>Лето</v>
      </c>
      <c r="G59" s="134">
        <f t="shared" si="1"/>
        <v>1</v>
      </c>
      <c r="H59" s="67"/>
      <c r="I59" s="67"/>
      <c r="J59" s="67"/>
      <c r="K59" s="129">
        <f t="shared" si="7"/>
        <v>77556.776013062205</v>
      </c>
      <c r="L59" s="67">
        <f>'План продаж'!M58/РазбивкаДохода!L54</f>
        <v>6679.5309484933941</v>
      </c>
      <c r="M59" s="67">
        <f>'План продаж'!N58/РазбивкаДохода!L54</f>
        <v>15446.415318390975</v>
      </c>
      <c r="N59" s="67">
        <f>'План продаж'!O58/РазбивкаДохода!M54</f>
        <v>40819.355796348529</v>
      </c>
      <c r="O59" s="67">
        <f>'План продаж'!P58/РазбивкаДохода!L54</f>
        <v>14611.4739498293</v>
      </c>
      <c r="P59" s="67">
        <f t="shared" si="3"/>
        <v>2585.2258671020736</v>
      </c>
      <c r="Q59" s="67">
        <f t="shared" si="4"/>
        <v>272.12903864232356</v>
      </c>
      <c r="R59" s="67">
        <f t="shared" si="10"/>
        <v>136.06451932116178</v>
      </c>
      <c r="S59" s="67">
        <f t="shared" si="6"/>
        <v>13.606451932116178</v>
      </c>
    </row>
    <row r="60" spans="2:19" x14ac:dyDescent="0.25">
      <c r="B60" s="67">
        <f t="shared" si="9"/>
        <v>53</v>
      </c>
      <c r="C60" s="67">
        <f t="shared" si="8"/>
        <v>7</v>
      </c>
      <c r="D60" s="67">
        <f t="shared" si="0"/>
        <v>2022</v>
      </c>
      <c r="E60" s="122">
        <f>EOMONTH(Настройки!$I$7,'План продаж.Кол-во'!B60)</f>
        <v>44773</v>
      </c>
      <c r="F60" s="67" t="str">
        <f>INDEX(Сезонность!$G$7:$G$18,MATCH(C60,Сезонность!$F$7:$F$18,0),1)</f>
        <v>Лето</v>
      </c>
      <c r="G60" s="134">
        <f t="shared" si="1"/>
        <v>1</v>
      </c>
      <c r="H60" s="67"/>
      <c r="I60" s="67"/>
      <c r="J60" s="67"/>
      <c r="K60" s="129">
        <f t="shared" si="7"/>
        <v>77556.776013062205</v>
      </c>
      <c r="L60" s="67">
        <f>'План продаж'!M59/РазбивкаДохода!L55</f>
        <v>6679.5309484933941</v>
      </c>
      <c r="M60" s="67">
        <f>'План продаж'!N59/РазбивкаДохода!L55</f>
        <v>15446.415318390975</v>
      </c>
      <c r="N60" s="67">
        <f>'План продаж'!O59/РазбивкаДохода!M55</f>
        <v>40819.355796348529</v>
      </c>
      <c r="O60" s="67">
        <f>'План продаж'!P59/РазбивкаДохода!L55</f>
        <v>14611.4739498293</v>
      </c>
      <c r="P60" s="67">
        <f t="shared" si="3"/>
        <v>2585.2258671020736</v>
      </c>
      <c r="Q60" s="67">
        <f t="shared" si="4"/>
        <v>272.12903864232356</v>
      </c>
      <c r="R60" s="67">
        <f t="shared" si="10"/>
        <v>136.06451932116178</v>
      </c>
      <c r="S60" s="67">
        <f t="shared" si="6"/>
        <v>13.606451932116178</v>
      </c>
    </row>
    <row r="61" spans="2:19" x14ac:dyDescent="0.25">
      <c r="B61" s="67">
        <f t="shared" si="9"/>
        <v>54</v>
      </c>
      <c r="C61" s="67">
        <f t="shared" si="8"/>
        <v>8</v>
      </c>
      <c r="D61" s="67">
        <f t="shared" si="0"/>
        <v>2022</v>
      </c>
      <c r="E61" s="122">
        <f>EOMONTH(Настройки!$I$7,'План продаж.Кол-во'!B61)</f>
        <v>44804</v>
      </c>
      <c r="F61" s="67" t="str">
        <f>INDEX(Сезонность!$G$7:$G$18,MATCH(C61,Сезонность!$F$7:$F$18,0),1)</f>
        <v>Лето</v>
      </c>
      <c r="G61" s="134">
        <f t="shared" si="1"/>
        <v>1</v>
      </c>
      <c r="H61" s="67"/>
      <c r="I61" s="67"/>
      <c r="J61" s="67"/>
      <c r="K61" s="129">
        <f t="shared" si="7"/>
        <v>77556.776013062205</v>
      </c>
      <c r="L61" s="67">
        <f>'План продаж'!M60/РазбивкаДохода!L56</f>
        <v>6679.5309484933941</v>
      </c>
      <c r="M61" s="67">
        <f>'План продаж'!N60/РазбивкаДохода!L56</f>
        <v>15446.415318390975</v>
      </c>
      <c r="N61" s="67">
        <f>'План продаж'!O60/РазбивкаДохода!M56</f>
        <v>40819.355796348529</v>
      </c>
      <c r="O61" s="67">
        <f>'План продаж'!P60/РазбивкаДохода!L56</f>
        <v>14611.4739498293</v>
      </c>
      <c r="P61" s="67">
        <f t="shared" si="3"/>
        <v>2585.2258671020736</v>
      </c>
      <c r="Q61" s="67">
        <f t="shared" si="4"/>
        <v>272.12903864232356</v>
      </c>
      <c r="R61" s="67">
        <f t="shared" si="10"/>
        <v>136.06451932116178</v>
      </c>
      <c r="S61" s="67">
        <f t="shared" si="6"/>
        <v>13.606451932116178</v>
      </c>
    </row>
    <row r="62" spans="2:19" x14ac:dyDescent="0.25">
      <c r="B62" s="67">
        <f t="shared" si="9"/>
        <v>55</v>
      </c>
      <c r="C62" s="67">
        <f t="shared" si="8"/>
        <v>9</v>
      </c>
      <c r="D62" s="67">
        <f t="shared" si="0"/>
        <v>2022</v>
      </c>
      <c r="E62" s="122">
        <f>EOMONTH(Настройки!$I$7,'План продаж.Кол-во'!B62)</f>
        <v>44834</v>
      </c>
      <c r="F62" s="67" t="str">
        <f>INDEX(Сезонность!$G$7:$G$18,MATCH(C62,Сезонность!$F$7:$F$18,0),1)</f>
        <v>Осень</v>
      </c>
      <c r="G62" s="134">
        <f t="shared" si="1"/>
        <v>1</v>
      </c>
      <c r="H62" s="67"/>
      <c r="I62" s="67"/>
      <c r="J62" s="67"/>
      <c r="K62" s="129">
        <f t="shared" si="7"/>
        <v>77556.776013062205</v>
      </c>
      <c r="L62" s="67">
        <f>'План продаж'!M61/РазбивкаДохода!L57</f>
        <v>6679.5309484933941</v>
      </c>
      <c r="M62" s="67">
        <f>'План продаж'!N61/РазбивкаДохода!L57</f>
        <v>15446.415318390975</v>
      </c>
      <c r="N62" s="67">
        <f>'План продаж'!O61/РазбивкаДохода!M57</f>
        <v>40819.355796348529</v>
      </c>
      <c r="O62" s="67">
        <f>'План продаж'!P61/РазбивкаДохода!L57</f>
        <v>14611.4739498293</v>
      </c>
      <c r="P62" s="67">
        <f t="shared" si="3"/>
        <v>2585.2258671020736</v>
      </c>
      <c r="Q62" s="67">
        <f t="shared" si="4"/>
        <v>272.12903864232356</v>
      </c>
      <c r="R62" s="67">
        <f t="shared" si="10"/>
        <v>136.06451932116178</v>
      </c>
      <c r="S62" s="67">
        <f t="shared" si="6"/>
        <v>13.606451932116178</v>
      </c>
    </row>
    <row r="63" spans="2:19" x14ac:dyDescent="0.25">
      <c r="B63" s="67">
        <f t="shared" si="9"/>
        <v>56</v>
      </c>
      <c r="C63" s="67">
        <f t="shared" si="8"/>
        <v>10</v>
      </c>
      <c r="D63" s="67">
        <f t="shared" si="0"/>
        <v>2022</v>
      </c>
      <c r="E63" s="122">
        <f>EOMONTH(Настройки!$I$7,'План продаж.Кол-во'!B63)</f>
        <v>44865</v>
      </c>
      <c r="F63" s="67" t="str">
        <f>INDEX(Сезонность!$G$7:$G$18,MATCH(C63,Сезонность!$F$7:$F$18,0),1)</f>
        <v>Осень</v>
      </c>
      <c r="G63" s="134">
        <f t="shared" si="1"/>
        <v>1</v>
      </c>
      <c r="H63" s="67"/>
      <c r="I63" s="67"/>
      <c r="J63" s="67"/>
      <c r="K63" s="129">
        <f t="shared" si="7"/>
        <v>103409.03468408293</v>
      </c>
      <c r="L63" s="67">
        <f>'План продаж'!M62/РазбивкаДохода!L58</f>
        <v>8906.0412646578588</v>
      </c>
      <c r="M63" s="67">
        <f>'План продаж'!N62/РазбивкаДохода!L58</f>
        <v>20595.2204245213</v>
      </c>
      <c r="N63" s="67">
        <f>'План продаж'!O62/РазбивкаДохода!M58</f>
        <v>54425.807728464701</v>
      </c>
      <c r="O63" s="67">
        <f>'План продаж'!P62/РазбивкаДохода!L58</f>
        <v>19481.965266439067</v>
      </c>
      <c r="P63" s="67">
        <f t="shared" si="3"/>
        <v>3446.9678228027642</v>
      </c>
      <c r="Q63" s="67">
        <f t="shared" si="4"/>
        <v>362.83871818976468</v>
      </c>
      <c r="R63" s="67">
        <f t="shared" si="10"/>
        <v>181.41935909488234</v>
      </c>
      <c r="S63" s="67">
        <f t="shared" si="6"/>
        <v>18.141935909488232</v>
      </c>
    </row>
    <row r="64" spans="2:19" x14ac:dyDescent="0.25">
      <c r="B64" s="67">
        <f t="shared" si="9"/>
        <v>57</v>
      </c>
      <c r="C64" s="67">
        <f t="shared" si="8"/>
        <v>11</v>
      </c>
      <c r="D64" s="67">
        <f t="shared" si="0"/>
        <v>2022</v>
      </c>
      <c r="E64" s="122">
        <f>EOMONTH(Настройки!$I$7,'План продаж.Кол-во'!B64)</f>
        <v>44895</v>
      </c>
      <c r="F64" s="67" t="str">
        <f>INDEX(Сезонность!$G$7:$G$18,MATCH(C64,Сезонность!$F$7:$F$18,0),1)</f>
        <v>Осень</v>
      </c>
      <c r="G64" s="134">
        <f t="shared" si="1"/>
        <v>1</v>
      </c>
      <c r="H64" s="67"/>
      <c r="I64" s="67"/>
      <c r="J64" s="67"/>
      <c r="K64" s="129">
        <f t="shared" si="7"/>
        <v>103409.03468408293</v>
      </c>
      <c r="L64" s="67">
        <f>'План продаж'!M63/РазбивкаДохода!L59</f>
        <v>8906.0412646578588</v>
      </c>
      <c r="M64" s="67">
        <f>'План продаж'!N63/РазбивкаДохода!L59</f>
        <v>20595.2204245213</v>
      </c>
      <c r="N64" s="67">
        <f>'План продаж'!O63/РазбивкаДохода!M59</f>
        <v>54425.807728464701</v>
      </c>
      <c r="O64" s="67">
        <f>'План продаж'!P63/РазбивкаДохода!L59</f>
        <v>19481.965266439067</v>
      </c>
      <c r="P64" s="67">
        <f t="shared" si="3"/>
        <v>3446.9678228027642</v>
      </c>
      <c r="Q64" s="67">
        <f t="shared" si="4"/>
        <v>362.83871818976468</v>
      </c>
      <c r="R64" s="67">
        <f t="shared" si="10"/>
        <v>181.41935909488234</v>
      </c>
      <c r="S64" s="67">
        <f t="shared" si="6"/>
        <v>18.141935909488232</v>
      </c>
    </row>
    <row r="65" spans="2:19" x14ac:dyDescent="0.25">
      <c r="B65" s="67">
        <f t="shared" si="9"/>
        <v>58</v>
      </c>
      <c r="C65" s="67">
        <f t="shared" si="8"/>
        <v>12</v>
      </c>
      <c r="D65" s="67">
        <f t="shared" si="0"/>
        <v>2022</v>
      </c>
      <c r="E65" s="122">
        <f>EOMONTH(Настройки!$I$7,'План продаж.Кол-во'!B65)</f>
        <v>44926</v>
      </c>
      <c r="F65" s="67" t="str">
        <f>INDEX(Сезонность!$G$7:$G$18,MATCH(C65,Сезонность!$F$7:$F$18,0),1)</f>
        <v>Зима</v>
      </c>
      <c r="G65" s="134">
        <f t="shared" si="1"/>
        <v>1</v>
      </c>
      <c r="H65" s="67"/>
      <c r="I65" s="67"/>
      <c r="J65" s="67"/>
      <c r="K65" s="129">
        <f t="shared" si="7"/>
        <v>103409.03468408293</v>
      </c>
      <c r="L65" s="67">
        <f>'План продаж'!M64/РазбивкаДохода!L60</f>
        <v>8906.0412646578588</v>
      </c>
      <c r="M65" s="67">
        <f>'План продаж'!N64/РазбивкаДохода!L60</f>
        <v>20595.2204245213</v>
      </c>
      <c r="N65" s="67">
        <f>'План продаж'!O64/РазбивкаДохода!M60</f>
        <v>54425.807728464701</v>
      </c>
      <c r="O65" s="67">
        <f>'План продаж'!P64/РазбивкаДохода!L60</f>
        <v>19481.965266439067</v>
      </c>
      <c r="P65" s="67">
        <f t="shared" si="3"/>
        <v>3446.9678228027642</v>
      </c>
      <c r="Q65" s="67">
        <f t="shared" si="4"/>
        <v>362.83871818976468</v>
      </c>
      <c r="R65" s="67">
        <f t="shared" si="10"/>
        <v>181.41935909488234</v>
      </c>
      <c r="S65" s="67">
        <f t="shared" si="6"/>
        <v>18.141935909488232</v>
      </c>
    </row>
    <row r="66" spans="2:19" x14ac:dyDescent="0.25">
      <c r="B66" s="67">
        <f t="shared" si="9"/>
        <v>59</v>
      </c>
      <c r="C66" s="67">
        <f t="shared" si="8"/>
        <v>1</v>
      </c>
      <c r="D66" s="67">
        <f t="shared" si="0"/>
        <v>2023</v>
      </c>
      <c r="E66" s="122">
        <f>EOMONTH(Настройки!$I$7,'План продаж.Кол-во'!B66)</f>
        <v>44957</v>
      </c>
      <c r="F66" s="67" t="str">
        <f>INDEX(Сезонность!$G$7:$G$18,MATCH(C66,Сезонность!$F$7:$F$18,0),1)</f>
        <v>Зима</v>
      </c>
      <c r="G66" s="134">
        <f t="shared" si="1"/>
        <v>1</v>
      </c>
      <c r="H66" s="67"/>
      <c r="I66" s="67"/>
      <c r="J66" s="67"/>
      <c r="K66" s="129">
        <f t="shared" si="7"/>
        <v>103409.03468408293</v>
      </c>
      <c r="L66" s="67">
        <f>'План продаж'!M65/РазбивкаДохода!L61</f>
        <v>8906.0412646578588</v>
      </c>
      <c r="M66" s="67">
        <f>'План продаж'!N65/РазбивкаДохода!L61</f>
        <v>20595.2204245213</v>
      </c>
      <c r="N66" s="67">
        <f>'План продаж'!O65/РазбивкаДохода!M61</f>
        <v>54425.807728464701</v>
      </c>
      <c r="O66" s="67">
        <f>'План продаж'!P65/РазбивкаДохода!L61</f>
        <v>19481.965266439067</v>
      </c>
      <c r="P66" s="67">
        <f t="shared" si="3"/>
        <v>3446.9678228027642</v>
      </c>
      <c r="Q66" s="67">
        <f t="shared" si="4"/>
        <v>362.83871818976468</v>
      </c>
      <c r="R66" s="67">
        <f t="shared" si="10"/>
        <v>181.41935909488234</v>
      </c>
      <c r="S66" s="67">
        <f t="shared" si="6"/>
        <v>18.141935909488232</v>
      </c>
    </row>
    <row r="67" spans="2:19" x14ac:dyDescent="0.25">
      <c r="B67" s="67">
        <f t="shared" si="9"/>
        <v>60</v>
      </c>
      <c r="C67" s="67">
        <f t="shared" si="8"/>
        <v>2</v>
      </c>
      <c r="D67" s="67">
        <f t="shared" si="0"/>
        <v>2023</v>
      </c>
      <c r="E67" s="122">
        <f>EOMONTH(Настройки!$I$7,'План продаж.Кол-во'!B67)</f>
        <v>44985</v>
      </c>
      <c r="F67" s="67" t="str">
        <f>INDEX(Сезонность!$G$7:$G$18,MATCH(C67,Сезонность!$F$7:$F$18,0),1)</f>
        <v>Зима</v>
      </c>
      <c r="G67" s="134">
        <f t="shared" si="1"/>
        <v>1</v>
      </c>
      <c r="H67" s="67"/>
      <c r="I67" s="67"/>
      <c r="J67" s="67"/>
      <c r="K67" s="129">
        <f t="shared" si="7"/>
        <v>103409.03468408293</v>
      </c>
      <c r="L67" s="67">
        <f>'План продаж'!M66/РазбивкаДохода!L62</f>
        <v>8906.0412646578588</v>
      </c>
      <c r="M67" s="67">
        <f>'План продаж'!N66/РазбивкаДохода!L62</f>
        <v>20595.2204245213</v>
      </c>
      <c r="N67" s="67">
        <f>'План продаж'!O66/РазбивкаДохода!M62</f>
        <v>54425.807728464701</v>
      </c>
      <c r="O67" s="67">
        <f>'План продаж'!P66/РазбивкаДохода!L62</f>
        <v>19481.965266439067</v>
      </c>
      <c r="P67" s="67">
        <f t="shared" si="3"/>
        <v>3446.9678228027642</v>
      </c>
      <c r="Q67" s="67">
        <f t="shared" si="4"/>
        <v>362.83871818976468</v>
      </c>
      <c r="R67" s="67">
        <f t="shared" si="10"/>
        <v>181.41935909488234</v>
      </c>
      <c r="S67" s="67">
        <f t="shared" si="6"/>
        <v>18.141935909488232</v>
      </c>
    </row>
  </sheetData>
  <mergeCells count="7">
    <mergeCell ref="S5:S6"/>
    <mergeCell ref="P5:P6"/>
    <mergeCell ref="Q5:Q6"/>
    <mergeCell ref="R5:R6"/>
    <mergeCell ref="B5:F5"/>
    <mergeCell ref="H5:J5"/>
    <mergeCell ref="K5:O5"/>
  </mergeCells>
  <pageMargins left="0.7" right="0.7" top="0.75" bottom="0.75" header="0.3" footer="0.3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B1:AB67"/>
  <sheetViews>
    <sheetView topLeftCell="I1" workbookViewId="0">
      <selection activeCell="P13" sqref="P13"/>
    </sheetView>
  </sheetViews>
  <sheetFormatPr defaultRowHeight="15" x14ac:dyDescent="0.25"/>
  <cols>
    <col min="1" max="1" width="9.140625" style="1"/>
    <col min="2" max="2" width="10.85546875" style="1" customWidth="1"/>
    <col min="3" max="4" width="9.28515625" style="1" bestFit="1" customWidth="1"/>
    <col min="5" max="5" width="10.28515625" style="110" bestFit="1" customWidth="1"/>
    <col min="6" max="6" width="15.5703125" style="1" bestFit="1" customWidth="1"/>
    <col min="7" max="7" width="16.5703125" style="1" bestFit="1" customWidth="1"/>
    <col min="8" max="8" width="17.42578125" style="1" customWidth="1"/>
    <col min="9" max="10" width="14.42578125" style="1" customWidth="1"/>
    <col min="11" max="12" width="15.85546875" style="1" customWidth="1"/>
    <col min="13" max="14" width="22.85546875" style="1" customWidth="1"/>
    <col min="15" max="16" width="21.140625" style="1" customWidth="1"/>
    <col min="17" max="17" width="103.5703125" style="1" customWidth="1"/>
    <col min="18" max="16384" width="9.140625" style="1"/>
  </cols>
  <sheetData>
    <row r="1" spans="2:28" ht="21" x14ac:dyDescent="0.35">
      <c r="B1" s="43" t="s">
        <v>204</v>
      </c>
    </row>
    <row r="2" spans="2:28" ht="12" customHeight="1" x14ac:dyDescent="0.35">
      <c r="B2" s="95"/>
      <c r="C2" s="95"/>
      <c r="D2" s="95"/>
      <c r="E2" s="121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4" spans="2:28" ht="15.75" thickBot="1" x14ac:dyDescent="0.3">
      <c r="B4" s="273" t="s">
        <v>413</v>
      </c>
      <c r="C4" s="273"/>
      <c r="D4" s="273"/>
      <c r="E4" s="241">
        <f>INDEX(B7:B67,MATCH(1,$N$7:$N$67,0),1)</f>
        <v>15</v>
      </c>
    </row>
    <row r="5" spans="2:28" ht="16.5" thickTop="1" thickBot="1" x14ac:dyDescent="0.3">
      <c r="B5" s="224">
        <v>1</v>
      </c>
      <c r="C5" s="224">
        <f>B5+1</f>
        <v>2</v>
      </c>
      <c r="D5" s="224">
        <f t="shared" ref="D5:O5" si="0">C5+1</f>
        <v>3</v>
      </c>
      <c r="E5" s="144">
        <f t="shared" si="0"/>
        <v>4</v>
      </c>
      <c r="F5" s="224">
        <f t="shared" si="0"/>
        <v>5</v>
      </c>
      <c r="G5" s="224">
        <f t="shared" si="0"/>
        <v>6</v>
      </c>
      <c r="H5" s="224">
        <f t="shared" si="0"/>
        <v>7</v>
      </c>
      <c r="I5" s="224">
        <f t="shared" si="0"/>
        <v>8</v>
      </c>
      <c r="J5" s="224">
        <f t="shared" si="0"/>
        <v>9</v>
      </c>
      <c r="K5" s="224">
        <f t="shared" si="0"/>
        <v>10</v>
      </c>
      <c r="L5" s="224">
        <f t="shared" si="0"/>
        <v>11</v>
      </c>
      <c r="M5" s="224">
        <f t="shared" si="0"/>
        <v>12</v>
      </c>
      <c r="N5" s="224">
        <f t="shared" si="0"/>
        <v>13</v>
      </c>
      <c r="O5" s="224">
        <f t="shared" si="0"/>
        <v>14</v>
      </c>
    </row>
    <row r="6" spans="2:28" ht="29.25" customHeight="1" thickTop="1" thickBot="1" x14ac:dyDescent="0.3">
      <c r="B6" s="72" t="s">
        <v>45</v>
      </c>
      <c r="C6" s="72" t="s">
        <v>7</v>
      </c>
      <c r="D6" s="72" t="s">
        <v>46</v>
      </c>
      <c r="E6" s="144" t="s">
        <v>47</v>
      </c>
      <c r="F6" s="72" t="s">
        <v>177</v>
      </c>
      <c r="G6" s="72" t="s">
        <v>181</v>
      </c>
      <c r="H6" s="72" t="s">
        <v>179</v>
      </c>
      <c r="I6" s="72" t="s">
        <v>180</v>
      </c>
      <c r="J6" s="222" t="s">
        <v>396</v>
      </c>
      <c r="K6" s="72" t="s">
        <v>60</v>
      </c>
      <c r="L6" s="224" t="s">
        <v>442</v>
      </c>
      <c r="M6" s="72" t="s">
        <v>182</v>
      </c>
      <c r="N6" s="222" t="s">
        <v>412</v>
      </c>
      <c r="O6" s="224" t="s">
        <v>425</v>
      </c>
    </row>
    <row r="7" spans="2:28" ht="18.75" customHeight="1" thickTop="1" thickBot="1" x14ac:dyDescent="0.3">
      <c r="B7" s="67">
        <v>0</v>
      </c>
      <c r="C7" s="67">
        <f>Настройки!$I$9</f>
        <v>2</v>
      </c>
      <c r="D7" s="67">
        <f t="shared" ref="D7:D67" si="1">YEAR(E7)</f>
        <v>2018</v>
      </c>
      <c r="E7" s="122">
        <f t="shared" ref="E7:E38" si="2">EOMONTH(ДатаНачала,B7)</f>
        <v>43159</v>
      </c>
      <c r="F7" s="67">
        <f>ДДС!$C$13</f>
        <v>-5175691</v>
      </c>
      <c r="G7" s="67">
        <f>SUM(H7:L7)</f>
        <v>0</v>
      </c>
      <c r="H7" s="67">
        <f>-SUMIFS('Расчёт.Постоянные расходы'!$I$6:$I$130,'Расчёт.Постоянные расходы'!$B$6:$B$130,"&lt;="&amp;Расчёт.Окупаемости!B7)</f>
        <v>0</v>
      </c>
      <c r="I7" s="67">
        <f>-SUMIFS(Персонал!$V:$V,Персонал!$O:$O,"&lt;="&amp;Расчёт.Окупаемости!B7)</f>
        <v>0</v>
      </c>
      <c r="J7" s="67">
        <f>Расчёт.ПрибылиВсё!N7</f>
        <v>0</v>
      </c>
      <c r="K7" s="67">
        <f>SUMIFS('План продаж'!$L$6:$L$66,'План продаж'!$B$6:$B$66,"&lt;="&amp;Расчёт.Окупаемости!B7)+SUMIFS('План продаж'!$X$6:$X$66,'План продаж'!$B$6:$B$66,"&lt;="&amp;Расчёт.Окупаемости!B7)+SUMIFS('План продаж'!$W$6:$W$66,'План продаж'!$B$6:$B$66,"&lt;="&amp;Расчёт.Окупаемости!B7)</f>
        <v>0</v>
      </c>
      <c r="L7" s="67">
        <f>'Заёмные средства'!Q6</f>
        <v>0</v>
      </c>
      <c r="M7" s="67">
        <f>F7+G7</f>
        <v>-5175691</v>
      </c>
      <c r="N7" s="67">
        <f>IF(M7&gt;0,1,0)</f>
        <v>0</v>
      </c>
      <c r="O7" s="58">
        <f>'Заёмные средства'!M6</f>
        <v>0</v>
      </c>
      <c r="Q7" s="270" t="s">
        <v>205</v>
      </c>
    </row>
    <row r="8" spans="2:28" ht="16.5" thickTop="1" thickBot="1" x14ac:dyDescent="0.3">
      <c r="B8" s="67">
        <f t="shared" ref="B8:C23" si="3">B7+1</f>
        <v>1</v>
      </c>
      <c r="C8" s="67">
        <f t="shared" si="3"/>
        <v>3</v>
      </c>
      <c r="D8" s="67">
        <f t="shared" si="1"/>
        <v>2018</v>
      </c>
      <c r="E8" s="122">
        <f t="shared" si="2"/>
        <v>43190</v>
      </c>
      <c r="F8" s="67">
        <f>$F$7</f>
        <v>-5175691</v>
      </c>
      <c r="G8" s="67">
        <f t="shared" ref="G8:G67" si="4">SUM(H8:L8)</f>
        <v>-151700.00000000023</v>
      </c>
      <c r="H8" s="67">
        <f>-SUMIFS('Расчёт.Постоянные расходы'!$I$6:$I$130,'Расчёт.Постоянные расходы'!$B$6:$B$130,"&lt;="&amp;Расчёт.Окупаемости!B8)</f>
        <v>-560000</v>
      </c>
      <c r="I8" s="67">
        <f>-SUMIFS(Персонал!$V:$V,Персонал!$O:$O,"&lt;="&amp;Расчёт.Окупаемости!B8)</f>
        <v>-448500</v>
      </c>
      <c r="J8" s="67">
        <f>Расчёт.ПрибылиВсё!N8+J7</f>
        <v>-12600</v>
      </c>
      <c r="K8" s="67">
        <f>SUMIFS('План продаж'!$Q$6:$Q$66,'План продаж'!$B$6:$B$66,"&lt;="&amp;Расчёт.Окупаемости!B8)</f>
        <v>869399.99999999977</v>
      </c>
      <c r="L8" s="67">
        <f>'Заёмные средства'!Q7</f>
        <v>0</v>
      </c>
      <c r="M8" s="67">
        <f t="shared" ref="M8:M67" si="5">F8+G8</f>
        <v>-5327391</v>
      </c>
      <c r="N8" s="67">
        <f>IF(M8&gt;0,N7+1,0)</f>
        <v>0</v>
      </c>
      <c r="O8" s="58">
        <f>'Заёмные средства'!M7</f>
        <v>5500000</v>
      </c>
      <c r="Q8" s="270"/>
    </row>
    <row r="9" spans="2:28" ht="16.5" thickTop="1" thickBot="1" x14ac:dyDescent="0.3">
      <c r="B9" s="67">
        <f t="shared" si="3"/>
        <v>2</v>
      </c>
      <c r="C9" s="67">
        <f t="shared" si="3"/>
        <v>4</v>
      </c>
      <c r="D9" s="67">
        <f t="shared" si="1"/>
        <v>2018</v>
      </c>
      <c r="E9" s="122">
        <f t="shared" si="2"/>
        <v>43220</v>
      </c>
      <c r="F9" s="67">
        <f t="shared" ref="F9:F67" si="6">$F$7</f>
        <v>-5175691</v>
      </c>
      <c r="G9" s="67">
        <f t="shared" si="4"/>
        <v>-114583.33333333395</v>
      </c>
      <c r="H9" s="67">
        <f>-SUMIFS('Расчёт.Постоянные расходы'!$I$6:$I$130,'Расчёт.Постоянные расходы'!$B$6:$B$130,"&lt;="&amp;Расчёт.Окупаемости!B9)</f>
        <v>-1120000</v>
      </c>
      <c r="I9" s="67">
        <f>-SUMIFS(Персонал!$V:$V,Персонал!$O:$O,"&lt;="&amp;Расчёт.Окупаемости!B9)</f>
        <v>-897000</v>
      </c>
      <c r="J9" s="67">
        <f>Расчёт.ПрибылиВсё!N9+J8</f>
        <v>-29300</v>
      </c>
      <c r="K9" s="67">
        <f>SUMIFS('План продаж'!$Q$6:$Q$66,'План продаж'!$B$6:$B$66,"&lt;="&amp;Расчёт.Окупаемости!B9)</f>
        <v>2000466.666666666</v>
      </c>
      <c r="L9" s="67">
        <f>'Заёмные средства'!Q8</f>
        <v>-68750</v>
      </c>
      <c r="M9" s="67">
        <f t="shared" si="5"/>
        <v>-5290274.333333334</v>
      </c>
      <c r="N9" s="67">
        <f t="shared" ref="N9:N67" si="7">IF(M9&gt;0,N8+1,0)</f>
        <v>0</v>
      </c>
      <c r="O9" s="58">
        <f>'Заёмные средства'!M8</f>
        <v>5347222.222222222</v>
      </c>
      <c r="Q9" s="270"/>
    </row>
    <row r="10" spans="2:28" ht="16.5" thickTop="1" thickBot="1" x14ac:dyDescent="0.3">
      <c r="B10" s="67">
        <f t="shared" si="3"/>
        <v>3</v>
      </c>
      <c r="C10" s="67">
        <f t="shared" si="3"/>
        <v>5</v>
      </c>
      <c r="D10" s="67">
        <f t="shared" si="1"/>
        <v>2018</v>
      </c>
      <c r="E10" s="122">
        <f t="shared" si="2"/>
        <v>43251</v>
      </c>
      <c r="F10" s="67">
        <f t="shared" si="6"/>
        <v>-5175691</v>
      </c>
      <c r="G10" s="67">
        <f t="shared" si="4"/>
        <v>-285398.61111111171</v>
      </c>
      <c r="H10" s="67">
        <f>-SUMIFS('Расчёт.Постоянные расходы'!$I$6:$I$130,'Расчёт.Постоянные расходы'!$B$6:$B$130,"&lt;="&amp;Расчёт.Окупаемости!B10)</f>
        <v>-1680000</v>
      </c>
      <c r="I10" s="67">
        <f>-SUMIFS(Персонал!$V:$V,Персонал!$O:$O,"&lt;="&amp;Расчёт.Окупаемости!B10)</f>
        <v>-1345500</v>
      </c>
      <c r="J10" s="67">
        <f>Расчёт.ПрибылиВсё!N10+J9</f>
        <v>-41825</v>
      </c>
      <c r="K10" s="67">
        <f>SUMIFS('План продаж'!$Q$6:$Q$66,'План продаж'!$B$6:$B$66,"&lt;="&amp;Расчёт.Окупаемости!B10)</f>
        <v>2848766.666666666</v>
      </c>
      <c r="L10" s="67">
        <f>'Заёмные средства'!Q9</f>
        <v>-66840.277777777766</v>
      </c>
      <c r="M10" s="67">
        <f t="shared" si="5"/>
        <v>-5461089.6111111119</v>
      </c>
      <c r="N10" s="67">
        <f t="shared" si="7"/>
        <v>0</v>
      </c>
      <c r="O10" s="58">
        <f>'Заёмные средства'!M9</f>
        <v>5194444.444444444</v>
      </c>
      <c r="Q10" s="270"/>
    </row>
    <row r="11" spans="2:28" ht="16.5" thickTop="1" thickBot="1" x14ac:dyDescent="0.3">
      <c r="B11" s="67">
        <f t="shared" si="3"/>
        <v>4</v>
      </c>
      <c r="C11" s="67">
        <f t="shared" si="3"/>
        <v>6</v>
      </c>
      <c r="D11" s="67">
        <f t="shared" si="1"/>
        <v>2018</v>
      </c>
      <c r="E11" s="122">
        <f t="shared" si="2"/>
        <v>43281</v>
      </c>
      <c r="F11" s="67">
        <f t="shared" si="6"/>
        <v>-5175691</v>
      </c>
      <c r="G11" s="67">
        <f t="shared" si="4"/>
        <v>-456213.88888888952</v>
      </c>
      <c r="H11" s="67">
        <f>-SUMIFS('Расчёт.Постоянные расходы'!$I$6:$I$130,'Расчёт.Постоянные расходы'!$B$6:$B$130,"&lt;="&amp;Расчёт.Окупаемости!B11)</f>
        <v>-2240000</v>
      </c>
      <c r="I11" s="67">
        <f>-SUMIFS(Персонал!$V:$V,Персонал!$O:$O,"&lt;="&amp;Расчёт.Окупаемости!B11)</f>
        <v>-1794000</v>
      </c>
      <c r="J11" s="67">
        <f>Расчёт.ПрибылиВсё!N11+J10</f>
        <v>-54350</v>
      </c>
      <c r="K11" s="67">
        <f>SUMIFS('План продаж'!$Q$6:$Q$66,'План продаж'!$B$6:$B$66,"&lt;="&amp;Расчёт.Окупаемости!B11)</f>
        <v>3697066.666666666</v>
      </c>
      <c r="L11" s="67">
        <f>'Заёмные средства'!Q10</f>
        <v>-64930.555555555547</v>
      </c>
      <c r="M11" s="67">
        <f t="shared" si="5"/>
        <v>-5631904.8888888899</v>
      </c>
      <c r="N11" s="67">
        <f t="shared" si="7"/>
        <v>0</v>
      </c>
      <c r="O11" s="58">
        <f>'Заёмные средства'!M10</f>
        <v>5041666.666666666</v>
      </c>
      <c r="Q11" s="270"/>
    </row>
    <row r="12" spans="2:28" ht="16.5" thickTop="1" thickBot="1" x14ac:dyDescent="0.3">
      <c r="B12" s="67">
        <f t="shared" si="3"/>
        <v>5</v>
      </c>
      <c r="C12" s="67">
        <f t="shared" ref="C12:C67" si="8">IF(C11=12,1,C11+1)</f>
        <v>7</v>
      </c>
      <c r="D12" s="67">
        <f t="shared" si="1"/>
        <v>2018</v>
      </c>
      <c r="E12" s="122">
        <f t="shared" si="2"/>
        <v>43312</v>
      </c>
      <c r="F12" s="67">
        <f t="shared" si="6"/>
        <v>-5175691</v>
      </c>
      <c r="G12" s="67">
        <f t="shared" si="4"/>
        <v>-294129.16666666727</v>
      </c>
      <c r="H12" s="67">
        <f>-SUMIFS('Расчёт.Постоянные расходы'!$I$6:$I$130,'Расчёт.Постоянные расходы'!$B$6:$B$130,"&lt;="&amp;Расчёт.Окупаемости!B12)</f>
        <v>-2800000</v>
      </c>
      <c r="I12" s="67">
        <f>-SUMIFS(Персонал!$V:$V,Персонал!$O:$O,"&lt;="&amp;Расчёт.Окупаемости!B12)</f>
        <v>-2320500</v>
      </c>
      <c r="J12" s="67">
        <f>Расчёт.ПрибылиВсё!N12+J11</f>
        <v>-74450</v>
      </c>
      <c r="K12" s="67">
        <f>SUMIFS('План продаж'!$Q$6:$Q$66,'План продаж'!$B$6:$B$66,"&lt;="&amp;Расчёт.Окупаемости!B12)</f>
        <v>4963841.666666666</v>
      </c>
      <c r="L12" s="67">
        <f>'Заёмные средства'!Q11</f>
        <v>-63020.833333333321</v>
      </c>
      <c r="M12" s="67">
        <f t="shared" si="5"/>
        <v>-5469820.166666667</v>
      </c>
      <c r="N12" s="67">
        <f t="shared" si="7"/>
        <v>0</v>
      </c>
      <c r="O12" s="58">
        <f>'Заёмные средства'!M11</f>
        <v>4888888.8888888881</v>
      </c>
      <c r="Q12" s="270"/>
    </row>
    <row r="13" spans="2:28" ht="16.5" thickTop="1" thickBot="1" x14ac:dyDescent="0.3">
      <c r="B13" s="67">
        <f t="shared" si="3"/>
        <v>6</v>
      </c>
      <c r="C13" s="67">
        <f t="shared" si="8"/>
        <v>8</v>
      </c>
      <c r="D13" s="67">
        <f t="shared" si="1"/>
        <v>2018</v>
      </c>
      <c r="E13" s="122">
        <f t="shared" si="2"/>
        <v>43343</v>
      </c>
      <c r="F13" s="67">
        <f t="shared" si="6"/>
        <v>-5175691</v>
      </c>
      <c r="G13" s="67">
        <f t="shared" si="4"/>
        <v>-132044.44444444505</v>
      </c>
      <c r="H13" s="67">
        <f>-SUMIFS('Расчёт.Постоянные расходы'!$I$6:$I$130,'Расчёт.Постоянные расходы'!$B$6:$B$130,"&lt;="&amp;Расчёт.Окупаемости!B13)</f>
        <v>-3360000</v>
      </c>
      <c r="I13" s="67">
        <f>-SUMIFS(Персонал!$V:$V,Персонал!$O:$O,"&lt;="&amp;Расчёт.Окупаемости!B13)</f>
        <v>-2847000</v>
      </c>
      <c r="J13" s="67">
        <f>Расчёт.ПрибылиВсё!N13+J12</f>
        <v>-94550</v>
      </c>
      <c r="K13" s="67">
        <f>SUMIFS('План продаж'!$Q$6:$Q$66,'План продаж'!$B$6:$B$66,"&lt;="&amp;Расчёт.Окупаемости!B13)</f>
        <v>6230616.666666666</v>
      </c>
      <c r="L13" s="67">
        <f>'Заёмные средства'!Q12</f>
        <v>-61111.111111111095</v>
      </c>
      <c r="M13" s="67">
        <f t="shared" si="5"/>
        <v>-5307735.444444445</v>
      </c>
      <c r="N13" s="67">
        <f t="shared" si="7"/>
        <v>0</v>
      </c>
      <c r="O13" s="58">
        <f>'Заёмные средства'!M12</f>
        <v>4736111.1111111101</v>
      </c>
      <c r="Q13" s="270"/>
    </row>
    <row r="14" spans="2:28" ht="16.5" thickTop="1" thickBot="1" x14ac:dyDescent="0.3">
      <c r="B14" s="67">
        <f t="shared" si="3"/>
        <v>7</v>
      </c>
      <c r="C14" s="67">
        <f t="shared" si="8"/>
        <v>9</v>
      </c>
      <c r="D14" s="67">
        <f t="shared" si="1"/>
        <v>2018</v>
      </c>
      <c r="E14" s="122">
        <f t="shared" si="2"/>
        <v>43373</v>
      </c>
      <c r="F14" s="67">
        <f t="shared" si="6"/>
        <v>-5175691</v>
      </c>
      <c r="G14" s="67">
        <f t="shared" si="4"/>
        <v>30040.277777777177</v>
      </c>
      <c r="H14" s="67">
        <f>-SUMIFS('Расчёт.Постоянные расходы'!$I$6:$I$130,'Расчёт.Постоянные расходы'!$B$6:$B$130,"&lt;="&amp;Расчёт.Окупаемости!B14)</f>
        <v>-3920000</v>
      </c>
      <c r="I14" s="67">
        <f>-SUMIFS(Персонал!$V:$V,Персонал!$O:$O,"&lt;="&amp;Расчёт.Окупаемости!B14)</f>
        <v>-3373500</v>
      </c>
      <c r="J14" s="67">
        <f>Расчёт.ПрибылиВсё!N14+J13</f>
        <v>-114650</v>
      </c>
      <c r="K14" s="67">
        <f>SUMIFS('План продаж'!$Q$6:$Q$66,'План продаж'!$B$6:$B$66,"&lt;="&amp;Расчёт.Окупаемости!B14)</f>
        <v>7497391.666666666</v>
      </c>
      <c r="L14" s="67">
        <f>'Заёмные средства'!Q13</f>
        <v>-59201.388888888869</v>
      </c>
      <c r="M14" s="67">
        <f t="shared" si="5"/>
        <v>-5145650.7222222229</v>
      </c>
      <c r="N14" s="67">
        <f t="shared" si="7"/>
        <v>0</v>
      </c>
      <c r="O14" s="58">
        <f>'Заёмные средства'!M13</f>
        <v>4583333.3333333321</v>
      </c>
      <c r="Q14" s="270"/>
    </row>
    <row r="15" spans="2:28" ht="16.5" thickTop="1" thickBot="1" x14ac:dyDescent="0.3">
      <c r="B15" s="67">
        <f t="shared" si="3"/>
        <v>8</v>
      </c>
      <c r="C15" s="67">
        <f t="shared" si="8"/>
        <v>10</v>
      </c>
      <c r="D15" s="67">
        <f t="shared" si="1"/>
        <v>2018</v>
      </c>
      <c r="E15" s="122">
        <f t="shared" si="2"/>
        <v>43404</v>
      </c>
      <c r="F15" s="67">
        <f t="shared" si="6"/>
        <v>-5175691</v>
      </c>
      <c r="G15" s="67">
        <f t="shared" si="4"/>
        <v>616411.72196969704</v>
      </c>
      <c r="H15" s="67">
        <f>-SUMIFS('Расчёт.Постоянные расходы'!$I$6:$I$130,'Расчёт.Постоянные расходы'!$B$6:$B$130,"&lt;="&amp;Расчёт.Окупаемости!B15)</f>
        <v>-4480000</v>
      </c>
      <c r="I15" s="67">
        <f>-SUMIFS(Персонал!$V:$V,Персонал!$O:$O,"&lt;="&amp;Расчёт.Окупаемости!B15)</f>
        <v>-3900000</v>
      </c>
      <c r="J15" s="67">
        <f>Расчёт.ПрибылиВсё!N15+J14</f>
        <v>-132721.6113636363</v>
      </c>
      <c r="K15" s="67">
        <f>SUMIFS('План продаж'!$Q$6:$Q$66,'План продаж'!$B$6:$B$66,"&lt;="&amp;Расчёт.Окупаемости!B15)</f>
        <v>9186425</v>
      </c>
      <c r="L15" s="67">
        <f>'Заёмные средства'!Q14</f>
        <v>-57291.66666666665</v>
      </c>
      <c r="M15" s="67">
        <f t="shared" si="5"/>
        <v>-4559279.2780303033</v>
      </c>
      <c r="N15" s="67">
        <f t="shared" si="7"/>
        <v>0</v>
      </c>
      <c r="O15" s="58">
        <f>'Заёмные средства'!M14</f>
        <v>4430555.5555555541</v>
      </c>
      <c r="Q15" s="270"/>
    </row>
    <row r="16" spans="2:28" ht="16.5" thickTop="1" thickBot="1" x14ac:dyDescent="0.3">
      <c r="B16" s="67">
        <f t="shared" si="3"/>
        <v>9</v>
      </c>
      <c r="C16" s="67">
        <f t="shared" si="8"/>
        <v>11</v>
      </c>
      <c r="D16" s="67">
        <f t="shared" si="1"/>
        <v>2018</v>
      </c>
      <c r="E16" s="122">
        <f t="shared" si="2"/>
        <v>43434</v>
      </c>
      <c r="F16" s="67">
        <f t="shared" si="6"/>
        <v>-5175691</v>
      </c>
      <c r="G16" s="67">
        <f t="shared" si="4"/>
        <v>1136483.1661616149</v>
      </c>
      <c r="H16" s="67">
        <f>-SUMIFS('Расчёт.Постоянные расходы'!$I$6:$I$130,'Расчёт.Постоянные расходы'!$B$6:$B$130,"&lt;="&amp;Расчёт.Окупаемости!B16)</f>
        <v>-5040000</v>
      </c>
      <c r="I16" s="67">
        <f>-SUMIFS(Персонал!$V:$V,Персонал!$O:$O,"&lt;="&amp;Расчёт.Окупаемости!B16)</f>
        <v>-4504500</v>
      </c>
      <c r="J16" s="67">
        <f>Расчёт.ПрибылиВсё!N16+J15</f>
        <v>-139093.2227272726</v>
      </c>
      <c r="K16" s="67">
        <f>SUMIFS('План продаж'!$Q$6:$Q$66,'План продаж'!$B$6:$B$66,"&lt;="&amp;Расчёт.Окупаемости!B16)</f>
        <v>10875458.333333332</v>
      </c>
      <c r="L16" s="67">
        <f>'Заёмные средства'!Q15</f>
        <v>-55381.944444444423</v>
      </c>
      <c r="M16" s="67">
        <f t="shared" si="5"/>
        <v>-4039207.8338383851</v>
      </c>
      <c r="N16" s="67">
        <f t="shared" si="7"/>
        <v>0</v>
      </c>
      <c r="O16" s="58">
        <f>'Заёмные средства'!M15</f>
        <v>4277777.7777777761</v>
      </c>
      <c r="Q16" s="270"/>
    </row>
    <row r="17" spans="2:17" ht="16.5" thickTop="1" thickBot="1" x14ac:dyDescent="0.3">
      <c r="B17" s="67">
        <f t="shared" si="3"/>
        <v>10</v>
      </c>
      <c r="C17" s="67">
        <f t="shared" si="8"/>
        <v>12</v>
      </c>
      <c r="D17" s="67">
        <f t="shared" si="1"/>
        <v>2018</v>
      </c>
      <c r="E17" s="122">
        <f t="shared" si="2"/>
        <v>43465</v>
      </c>
      <c r="F17" s="67">
        <f t="shared" si="6"/>
        <v>-5175691</v>
      </c>
      <c r="G17" s="67">
        <f t="shared" si="4"/>
        <v>1872444.6103535329</v>
      </c>
      <c r="H17" s="67">
        <f>-SUMIFS('Расчёт.Постоянные расходы'!$I$6:$I$130,'Расчёт.Постоянные расходы'!$B$6:$B$130,"&lt;="&amp;Расчёт.Окупаемости!B17)</f>
        <v>-5600000</v>
      </c>
      <c r="I17" s="67">
        <f>-SUMIFS(Персонал!$V:$V,Персонал!$O:$O,"&lt;="&amp;Расчёт.Окупаемости!B17)</f>
        <v>-5109000</v>
      </c>
      <c r="J17" s="67">
        <f>Расчёт.ПрибылиВсё!N17+J16</f>
        <v>-172974.8340909089</v>
      </c>
      <c r="K17" s="67">
        <f>SUMIFS('План продаж'!$Q$6:$Q$66,'План продаж'!$B$6:$B$66,"&lt;="&amp;Расчёт.Окупаемости!B17)</f>
        <v>12807891.666666664</v>
      </c>
      <c r="L17" s="67">
        <f>'Заёмные средства'!Q16</f>
        <v>-53472.222222222197</v>
      </c>
      <c r="M17" s="67">
        <f>F17+G17</f>
        <v>-3303246.3896464668</v>
      </c>
      <c r="N17" s="67">
        <f t="shared" si="7"/>
        <v>0</v>
      </c>
      <c r="O17" s="58">
        <f>'Заёмные средства'!M16</f>
        <v>4124999.9999999986</v>
      </c>
      <c r="Q17" s="270"/>
    </row>
    <row r="18" spans="2:17" ht="15.75" thickTop="1" x14ac:dyDescent="0.25">
      <c r="B18" s="67">
        <f t="shared" si="3"/>
        <v>11</v>
      </c>
      <c r="C18" s="67">
        <f t="shared" si="8"/>
        <v>1</v>
      </c>
      <c r="D18" s="67">
        <f t="shared" si="1"/>
        <v>2019</v>
      </c>
      <c r="E18" s="122">
        <f t="shared" si="2"/>
        <v>43496</v>
      </c>
      <c r="F18" s="67">
        <f t="shared" si="6"/>
        <v>-5175691</v>
      </c>
      <c r="G18" s="67">
        <f t="shared" si="4"/>
        <v>2609561.8934090883</v>
      </c>
      <c r="H18" s="67">
        <f>-SUMIFS('Расчёт.Постоянные расходы'!$I$6:$I$130,'Расчёт.Постоянные расходы'!$B$6:$B$130,"&lt;="&amp;Расчёт.Окупаемости!B18)</f>
        <v>-6160000</v>
      </c>
      <c r="I18" s="67">
        <f>-SUMIFS(Персонал!$V:$V,Персонал!$O:$O,"&lt;="&amp;Расчёт.Окупаемости!B18)</f>
        <v>-5713500</v>
      </c>
      <c r="J18" s="67">
        <f>Расчёт.ПрибылиВсё!N18+J17</f>
        <v>-205700.60659090884</v>
      </c>
      <c r="K18" s="67">
        <f>SUMIFS('План продаж'!$Q$6:$Q$66,'План продаж'!$B$6:$B$66,"&lt;="&amp;Расчёт.Окупаемости!B18)</f>
        <v>14740324.999999996</v>
      </c>
      <c r="L18" s="67">
        <f>'Заёмные средства'!Q17</f>
        <v>-51562.499999999978</v>
      </c>
      <c r="M18" s="67">
        <f t="shared" si="5"/>
        <v>-2566129.1065909117</v>
      </c>
      <c r="N18" s="67">
        <f t="shared" si="7"/>
        <v>0</v>
      </c>
      <c r="O18" s="58">
        <f>'Заёмные средства'!M17</f>
        <v>3972222.2222222211</v>
      </c>
    </row>
    <row r="19" spans="2:17" x14ac:dyDescent="0.25">
      <c r="B19" s="67">
        <f t="shared" si="3"/>
        <v>12</v>
      </c>
      <c r="C19" s="67">
        <f t="shared" si="8"/>
        <v>2</v>
      </c>
      <c r="D19" s="67">
        <f t="shared" si="1"/>
        <v>2019</v>
      </c>
      <c r="E19" s="122">
        <f t="shared" si="2"/>
        <v>43524</v>
      </c>
      <c r="F19" s="67">
        <f t="shared" si="6"/>
        <v>-5175691</v>
      </c>
      <c r="G19" s="67">
        <f t="shared" si="4"/>
        <v>3346679.1764646415</v>
      </c>
      <c r="H19" s="67">
        <f>-SUMIFS('Расчёт.Постоянные расходы'!$I$6:$I$130,'Расчёт.Постоянные расходы'!$B$6:$B$130,"&lt;="&amp;Расчёт.Окупаемости!B19)</f>
        <v>-6720000</v>
      </c>
      <c r="I19" s="67">
        <f>-SUMIFS(Персонал!$V:$V,Персонал!$O:$O,"&lt;="&amp;Расчёт.Окупаемости!B19)</f>
        <v>-6318000</v>
      </c>
      <c r="J19" s="67">
        <f>Расчёт.ПрибылиВсё!N19+J18</f>
        <v>-238426.3790909088</v>
      </c>
      <c r="K19" s="67">
        <f>SUMIFS('План продаж'!$Q$6:$Q$66,'План продаж'!$B$6:$B$66,"&lt;="&amp;Расчёт.Окупаемости!B19)</f>
        <v>16672758.333333328</v>
      </c>
      <c r="L19" s="67">
        <f>'Заёмные средства'!Q18</f>
        <v>-49652.777777777759</v>
      </c>
      <c r="M19" s="67">
        <f t="shared" si="5"/>
        <v>-1829011.8235353585</v>
      </c>
      <c r="N19" s="67">
        <f t="shared" si="7"/>
        <v>0</v>
      </c>
      <c r="O19" s="58">
        <f>'Заёмные средства'!M18</f>
        <v>3819444.4444444436</v>
      </c>
    </row>
    <row r="20" spans="2:17" x14ac:dyDescent="0.25">
      <c r="B20" s="67">
        <f t="shared" si="3"/>
        <v>13</v>
      </c>
      <c r="C20" s="67">
        <f t="shared" si="8"/>
        <v>3</v>
      </c>
      <c r="D20" s="67">
        <f t="shared" si="1"/>
        <v>2019</v>
      </c>
      <c r="E20" s="122">
        <f t="shared" si="2"/>
        <v>43555</v>
      </c>
      <c r="F20" s="67">
        <f t="shared" si="6"/>
        <v>-5175691</v>
      </c>
      <c r="G20" s="67">
        <f t="shared" si="4"/>
        <v>4083796.459520197</v>
      </c>
      <c r="H20" s="67">
        <f>-SUMIFS('Расчёт.Постоянные расходы'!$I$6:$I$130,'Расчёт.Постоянные расходы'!$B$6:$B$130,"&lt;="&amp;Расчёт.Окупаемости!B20)</f>
        <v>-7280000</v>
      </c>
      <c r="I20" s="67">
        <f>-SUMIFS(Персонал!$V:$V,Персонал!$O:$O,"&lt;="&amp;Расчёт.Окупаемости!B20)</f>
        <v>-6922500</v>
      </c>
      <c r="J20" s="67">
        <f>Расчёт.ПрибылиВсё!N20+J19</f>
        <v>-271152.15159090876</v>
      </c>
      <c r="K20" s="67">
        <f>SUMIFS('План продаж'!$Q$6:$Q$66,'План продаж'!$B$6:$B$66,"&lt;="&amp;Расчёт.Окупаемости!B20)</f>
        <v>18605191.66666666</v>
      </c>
      <c r="L20" s="67">
        <f>'Заёмные средства'!Q19</f>
        <v>-47743.05555555554</v>
      </c>
      <c r="M20" s="67">
        <f t="shared" si="5"/>
        <v>-1091894.540479803</v>
      </c>
      <c r="N20" s="67">
        <f t="shared" si="7"/>
        <v>0</v>
      </c>
      <c r="O20" s="58">
        <f>'Заёмные средства'!M19</f>
        <v>3666666.666666666</v>
      </c>
    </row>
    <row r="21" spans="2:17" x14ac:dyDescent="0.25">
      <c r="B21" s="106">
        <f t="shared" si="3"/>
        <v>14</v>
      </c>
      <c r="C21" s="106">
        <f t="shared" si="8"/>
        <v>4</v>
      </c>
      <c r="D21" s="106">
        <f t="shared" si="1"/>
        <v>2019</v>
      </c>
      <c r="E21" s="149">
        <f t="shared" si="2"/>
        <v>43585</v>
      </c>
      <c r="F21" s="106">
        <f t="shared" si="6"/>
        <v>-5175691</v>
      </c>
      <c r="G21" s="67">
        <f t="shared" si="4"/>
        <v>4820913.7425757507</v>
      </c>
      <c r="H21" s="106">
        <f>-SUMIFS('Расчёт.Постоянные расходы'!$I$6:$I$130,'Расчёт.Постоянные расходы'!$B$6:$B$130,"&lt;="&amp;Расчёт.Окупаемости!B21)</f>
        <v>-7840000</v>
      </c>
      <c r="I21" s="106">
        <f>-SUMIFS(Персонал!$V:$V,Персонал!$O:$O,"&lt;="&amp;Расчёт.Окупаемости!B21)</f>
        <v>-7527000</v>
      </c>
      <c r="J21" s="67">
        <f>Расчёт.ПрибылиВсё!N21+J20</f>
        <v>-303877.92409090872</v>
      </c>
      <c r="K21" s="67">
        <f>SUMIFS('План продаж'!$Q$6:$Q$66,'План продаж'!$B$6:$B$66,"&lt;="&amp;Расчёт.Окупаемости!B21)</f>
        <v>20537624.999999993</v>
      </c>
      <c r="L21" s="67">
        <f>'Заёмные средства'!Q20</f>
        <v>-45833.333333333321</v>
      </c>
      <c r="M21" s="106">
        <f t="shared" si="5"/>
        <v>-354777.25742424931</v>
      </c>
      <c r="N21" s="67">
        <f t="shared" si="7"/>
        <v>0</v>
      </c>
      <c r="O21" s="58">
        <f>'Заёмные средства'!M20</f>
        <v>3513888.8888888881</v>
      </c>
    </row>
    <row r="22" spans="2:17" x14ac:dyDescent="0.25">
      <c r="B22" s="67">
        <f t="shared" si="3"/>
        <v>15</v>
      </c>
      <c r="C22" s="67">
        <f t="shared" si="8"/>
        <v>5</v>
      </c>
      <c r="D22" s="67">
        <f t="shared" si="1"/>
        <v>2019</v>
      </c>
      <c r="E22" s="122">
        <f t="shared" si="2"/>
        <v>43616</v>
      </c>
      <c r="F22" s="67">
        <f t="shared" si="6"/>
        <v>-5175691</v>
      </c>
      <c r="G22" s="67">
        <f t="shared" si="4"/>
        <v>5318723.4647979746</v>
      </c>
      <c r="H22" s="67">
        <f>-SUMIFS('Расчёт.Постоянные расходы'!$I$6:$I$130,'Расчёт.Постоянные расходы'!$B$6:$B$130,"&lt;="&amp;Расчёт.Окупаемости!B22)</f>
        <v>-8400000</v>
      </c>
      <c r="I22" s="67">
        <f>-SUMIFS(Персонал!$V:$V,Персонал!$O:$O,"&lt;="&amp;Расчёт.Окупаемости!B22)</f>
        <v>-8131500</v>
      </c>
      <c r="J22" s="67">
        <f>Расчёт.ПрибылиВсё!N22+J21</f>
        <v>-331927.92409090872</v>
      </c>
      <c r="K22" s="67">
        <f>SUMIFS('План продаж'!$Q$6:$Q$66,'План продаж'!$B$6:$B$66,"&lt;="&amp;Расчёт.Окупаемости!B22)</f>
        <v>22226074.999999993</v>
      </c>
      <c r="L22" s="67">
        <f>'Заёмные средства'!Q21</f>
        <v>-43923.611111111095</v>
      </c>
      <c r="M22" s="67">
        <f t="shared" si="5"/>
        <v>143032.46479797456</v>
      </c>
      <c r="N22" s="67">
        <f t="shared" si="7"/>
        <v>1</v>
      </c>
      <c r="O22" s="58">
        <f>'Заёмные средства'!M21</f>
        <v>3361111.1111111101</v>
      </c>
    </row>
    <row r="23" spans="2:17" x14ac:dyDescent="0.25">
      <c r="B23" s="67">
        <f t="shared" si="3"/>
        <v>16</v>
      </c>
      <c r="C23" s="67">
        <f t="shared" si="8"/>
        <v>6</v>
      </c>
      <c r="D23" s="67">
        <f t="shared" si="1"/>
        <v>2019</v>
      </c>
      <c r="E23" s="122">
        <f t="shared" si="2"/>
        <v>43646</v>
      </c>
      <c r="F23" s="67">
        <f t="shared" si="6"/>
        <v>-5175691</v>
      </c>
      <c r="G23" s="67">
        <f t="shared" si="4"/>
        <v>5816533.1870201966</v>
      </c>
      <c r="H23" s="67">
        <f>-SUMIFS('Расчёт.Постоянные расходы'!$I$6:$I$130,'Расчёт.Постоянные расходы'!$B$6:$B$130,"&lt;="&amp;Расчёт.Окупаемости!B23)</f>
        <v>-8960000</v>
      </c>
      <c r="I23" s="67">
        <f>-SUMIFS(Персонал!$V:$V,Персонал!$O:$O,"&lt;="&amp;Расчёт.Окупаемости!B23)</f>
        <v>-8736000</v>
      </c>
      <c r="J23" s="67">
        <f>Расчёт.ПрибылиВсё!N23+J22</f>
        <v>-359977.92409090872</v>
      </c>
      <c r="K23" s="67">
        <f>SUMIFS('План продаж'!$Q$6:$Q$66,'План продаж'!$B$6:$B$66,"&lt;="&amp;Расчёт.Окупаемости!B23)</f>
        <v>23914524.999999993</v>
      </c>
      <c r="L23" s="67">
        <f>'Заёмные средства'!Q22</f>
        <v>-42013.888888888876</v>
      </c>
      <c r="M23" s="251">
        <f t="shared" si="5"/>
        <v>640842.18702019658</v>
      </c>
      <c r="N23" s="251">
        <f t="shared" si="7"/>
        <v>2</v>
      </c>
      <c r="O23" s="252">
        <f>'Заёмные средства'!M22</f>
        <v>3208333.3333333326</v>
      </c>
    </row>
    <row r="24" spans="2:17" x14ac:dyDescent="0.25">
      <c r="B24" s="67">
        <f t="shared" ref="B24:B67" si="9">B23+1</f>
        <v>17</v>
      </c>
      <c r="C24" s="67">
        <f t="shared" si="8"/>
        <v>7</v>
      </c>
      <c r="D24" s="67">
        <f t="shared" si="1"/>
        <v>2019</v>
      </c>
      <c r="E24" s="122">
        <f t="shared" si="2"/>
        <v>43677</v>
      </c>
      <c r="F24" s="67">
        <f t="shared" si="6"/>
        <v>-5175691</v>
      </c>
      <c r="G24" s="67">
        <f t="shared" si="4"/>
        <v>6314342.9092424186</v>
      </c>
      <c r="H24" s="67">
        <f>-SUMIFS('Расчёт.Постоянные расходы'!$I$6:$I$130,'Расчёт.Постоянные расходы'!$B$6:$B$130,"&lt;="&amp;Расчёт.Окупаемости!B24)</f>
        <v>-9520000</v>
      </c>
      <c r="I24" s="67">
        <f>-SUMIFS(Персонал!$V:$V,Персонал!$O:$O,"&lt;="&amp;Расчёт.Окупаемости!B24)</f>
        <v>-9340500</v>
      </c>
      <c r="J24" s="67">
        <f>Расчёт.ПрибылиВсё!N24+J23</f>
        <v>-388027.92409090872</v>
      </c>
      <c r="K24" s="67">
        <f>SUMIFS('План продаж'!$Q$6:$Q$66,'План продаж'!$B$6:$B$66,"&lt;="&amp;Расчёт.Окупаемости!B24)</f>
        <v>25602974.999999993</v>
      </c>
      <c r="L24" s="67">
        <f>'Заёмные средства'!Q23</f>
        <v>-40104.166666666657</v>
      </c>
      <c r="M24" s="67">
        <f t="shared" si="5"/>
        <v>1138651.9092424186</v>
      </c>
      <c r="N24" s="67">
        <f t="shared" si="7"/>
        <v>3</v>
      </c>
      <c r="O24" s="58">
        <f>'Заёмные средства'!M23</f>
        <v>3055555.555555555</v>
      </c>
    </row>
    <row r="25" spans="2:17" x14ac:dyDescent="0.25">
      <c r="B25" s="67">
        <f t="shared" si="9"/>
        <v>18</v>
      </c>
      <c r="C25" s="67">
        <f t="shared" si="8"/>
        <v>8</v>
      </c>
      <c r="D25" s="67">
        <f t="shared" si="1"/>
        <v>2019</v>
      </c>
      <c r="E25" s="122">
        <f t="shared" si="2"/>
        <v>43708</v>
      </c>
      <c r="F25" s="67">
        <f t="shared" si="6"/>
        <v>-5175691</v>
      </c>
      <c r="G25" s="67">
        <f t="shared" si="4"/>
        <v>6812152.6314646415</v>
      </c>
      <c r="H25" s="67">
        <f>-SUMIFS('Расчёт.Постоянные расходы'!$I$6:$I$130,'Расчёт.Постоянные расходы'!$B$6:$B$130,"&lt;="&amp;Расчёт.Окупаемости!B25)</f>
        <v>-10080000</v>
      </c>
      <c r="I25" s="67">
        <f>-SUMIFS(Персонал!$V:$V,Персонал!$O:$O,"&lt;="&amp;Расчёт.Окупаемости!B25)</f>
        <v>-9945000</v>
      </c>
      <c r="J25" s="67">
        <f>Расчёт.ПрибылиВсё!N25+J24</f>
        <v>-416077.92409090872</v>
      </c>
      <c r="K25" s="67">
        <f>SUMIFS('План продаж'!$Q$6:$Q$66,'План продаж'!$B$6:$B$66,"&lt;="&amp;Расчёт.Окупаемости!B25)</f>
        <v>27291424.999999993</v>
      </c>
      <c r="L25" s="67">
        <f>'Заёмные средства'!Q24</f>
        <v>-38194.444444444438</v>
      </c>
      <c r="M25" s="67">
        <f t="shared" si="5"/>
        <v>1636461.6314646415</v>
      </c>
      <c r="N25" s="67">
        <f t="shared" si="7"/>
        <v>4</v>
      </c>
      <c r="O25" s="58">
        <f>'Заёмные средства'!M24</f>
        <v>2902777.7777777771</v>
      </c>
    </row>
    <row r="26" spans="2:17" x14ac:dyDescent="0.25">
      <c r="B26" s="67">
        <f t="shared" si="9"/>
        <v>19</v>
      </c>
      <c r="C26" s="67">
        <f t="shared" si="8"/>
        <v>9</v>
      </c>
      <c r="D26" s="67">
        <f t="shared" si="1"/>
        <v>2019</v>
      </c>
      <c r="E26" s="122">
        <f t="shared" si="2"/>
        <v>43738</v>
      </c>
      <c r="F26" s="67">
        <f t="shared" si="6"/>
        <v>-5175691</v>
      </c>
      <c r="G26" s="67">
        <f t="shared" si="4"/>
        <v>7309962.3536868636</v>
      </c>
      <c r="H26" s="67">
        <f>-SUMIFS('Расчёт.Постоянные расходы'!$I$6:$I$130,'Расчёт.Постоянные расходы'!$B$6:$B$130,"&lt;="&amp;Расчёт.Окупаемости!B26)</f>
        <v>-10640000</v>
      </c>
      <c r="I26" s="67">
        <f>-SUMIFS(Персонал!$V:$V,Персонал!$O:$O,"&lt;="&amp;Расчёт.Окупаемости!B26)</f>
        <v>-10549500</v>
      </c>
      <c r="J26" s="67">
        <f>Расчёт.ПрибылиВсё!N26+J25</f>
        <v>-444127.92409090872</v>
      </c>
      <c r="K26" s="67">
        <f>SUMIFS('План продаж'!$Q$6:$Q$66,'План продаж'!$B$6:$B$66,"&lt;="&amp;Расчёт.Окупаемости!B26)</f>
        <v>28979874.999999993</v>
      </c>
      <c r="L26" s="67">
        <f>'Заёмные средства'!Q25</f>
        <v>-36284.722222222212</v>
      </c>
      <c r="M26" s="67">
        <f t="shared" si="5"/>
        <v>2134271.3536868636</v>
      </c>
      <c r="N26" s="67">
        <f t="shared" si="7"/>
        <v>5</v>
      </c>
      <c r="O26" s="58">
        <f>'Заёмные средства'!M25</f>
        <v>2749999.9999999991</v>
      </c>
    </row>
    <row r="27" spans="2:17" x14ac:dyDescent="0.25">
      <c r="B27" s="67">
        <f t="shared" si="9"/>
        <v>20</v>
      </c>
      <c r="C27" s="67">
        <f t="shared" si="8"/>
        <v>10</v>
      </c>
      <c r="D27" s="67">
        <f t="shared" si="1"/>
        <v>2019</v>
      </c>
      <c r="E27" s="122">
        <f t="shared" si="2"/>
        <v>43769</v>
      </c>
      <c r="F27" s="67">
        <f t="shared" si="6"/>
        <v>-5175691</v>
      </c>
      <c r="G27" s="67">
        <f t="shared" si="4"/>
        <v>8318087.9700757489</v>
      </c>
      <c r="H27" s="67">
        <f>-SUMIFS('Расчёт.Постоянные расходы'!$I$6:$I$130,'Расчёт.Постоянные расходы'!$B$6:$B$130,"&lt;="&amp;Расчёт.Окупаемости!B27)</f>
        <v>-11200000</v>
      </c>
      <c r="I27" s="67">
        <f>-SUMIFS(Персонал!$V:$V,Персонал!$O:$O,"&lt;="&amp;Расчёт.Окупаемости!B27)</f>
        <v>-11154000</v>
      </c>
      <c r="J27" s="67">
        <f>Расчёт.ПрибылиВсё!N27+J26</f>
        <v>-524678.69659090857</v>
      </c>
      <c r="K27" s="67">
        <f>SUMIFS('План продаж'!$Q$6:$Q$66,'План продаж'!$B$6:$B$66,"&lt;="&amp;Расчёт.Окупаемости!B27)</f>
        <v>31231141.666666657</v>
      </c>
      <c r="L27" s="67">
        <f>'Заёмные средства'!Q26</f>
        <v>-34374.999999999985</v>
      </c>
      <c r="M27" s="67">
        <f t="shared" si="5"/>
        <v>3142396.9700757489</v>
      </c>
      <c r="N27" s="67">
        <f t="shared" si="7"/>
        <v>6</v>
      </c>
      <c r="O27" s="58">
        <f>'Заёмные средства'!M26</f>
        <v>2597222.2222222215</v>
      </c>
    </row>
    <row r="28" spans="2:17" x14ac:dyDescent="0.25">
      <c r="B28" s="67">
        <f t="shared" si="9"/>
        <v>21</v>
      </c>
      <c r="C28" s="67">
        <f t="shared" si="8"/>
        <v>11</v>
      </c>
      <c r="D28" s="67">
        <f t="shared" si="1"/>
        <v>2019</v>
      </c>
      <c r="E28" s="122">
        <f t="shared" si="2"/>
        <v>43799</v>
      </c>
      <c r="F28" s="67">
        <f t="shared" si="6"/>
        <v>-5175691</v>
      </c>
      <c r="G28" s="67">
        <f t="shared" si="4"/>
        <v>9326213.5864646342</v>
      </c>
      <c r="H28" s="67">
        <f>-SUMIFS('Расчёт.Постоянные расходы'!$I$6:$I$130,'Расчёт.Постоянные расходы'!$B$6:$B$130,"&lt;="&amp;Расчёт.Окупаемости!B28)</f>
        <v>-11760000</v>
      </c>
      <c r="I28" s="67">
        <f>-SUMIFS(Персонал!$V:$V,Персонал!$O:$O,"&lt;="&amp;Расчёт.Окупаемости!B28)</f>
        <v>-11758500</v>
      </c>
      <c r="J28" s="67">
        <f>Расчёт.ПрибылиВсё!N28+J27</f>
        <v>-605229.46909090853</v>
      </c>
      <c r="K28" s="67">
        <f>SUMIFS('План продаж'!$Q$6:$Q$66,'План продаж'!$B$6:$B$66,"&lt;="&amp;Расчёт.Окупаемости!B28)</f>
        <v>33482408.333333321</v>
      </c>
      <c r="L28" s="67">
        <f>'Заёмные средства'!Q27</f>
        <v>-32465.277777777766</v>
      </c>
      <c r="M28" s="67">
        <f t="shared" si="5"/>
        <v>4150522.5864646342</v>
      </c>
      <c r="N28" s="67">
        <f t="shared" si="7"/>
        <v>7</v>
      </c>
      <c r="O28" s="58">
        <f>'Заёмные средства'!M27</f>
        <v>2444444.444444444</v>
      </c>
    </row>
    <row r="29" spans="2:17" x14ac:dyDescent="0.25">
      <c r="B29" s="67">
        <f t="shared" si="9"/>
        <v>22</v>
      </c>
      <c r="C29" s="67">
        <f t="shared" si="8"/>
        <v>12</v>
      </c>
      <c r="D29" s="67">
        <f t="shared" si="1"/>
        <v>2019</v>
      </c>
      <c r="E29" s="122">
        <f t="shared" si="2"/>
        <v>43830</v>
      </c>
      <c r="F29" s="67">
        <f t="shared" si="6"/>
        <v>-5175691</v>
      </c>
      <c r="G29" s="67">
        <f t="shared" si="4"/>
        <v>10334339.202853519</v>
      </c>
      <c r="H29" s="67">
        <f>-SUMIFS('Расчёт.Постоянные расходы'!$I$6:$I$130,'Расчёт.Постоянные расходы'!$B$6:$B$130,"&lt;="&amp;Расчёт.Окупаемости!B29)</f>
        <v>-12320000</v>
      </c>
      <c r="I29" s="67">
        <f>-SUMIFS(Персонал!$V:$V,Персонал!$O:$O,"&lt;="&amp;Расчёт.Окупаемости!B29)</f>
        <v>-12363000</v>
      </c>
      <c r="J29" s="67">
        <f>Расчёт.ПрибылиВсё!N29+J28</f>
        <v>-685780.2415909085</v>
      </c>
      <c r="K29" s="67">
        <f>SUMIFS('План продаж'!$Q$6:$Q$66,'План продаж'!$B$6:$B$66,"&lt;="&amp;Расчёт.Окупаемости!B29)</f>
        <v>35733674.999999985</v>
      </c>
      <c r="L29" s="67">
        <f>'Заёмные средства'!Q28</f>
        <v>-30555.555555555547</v>
      </c>
      <c r="M29" s="67">
        <f t="shared" si="5"/>
        <v>5158648.2028535195</v>
      </c>
      <c r="N29" s="67">
        <f t="shared" si="7"/>
        <v>8</v>
      </c>
      <c r="O29" s="58">
        <f>'Заёмные средства'!M28</f>
        <v>2291666.666666666</v>
      </c>
    </row>
    <row r="30" spans="2:17" x14ac:dyDescent="0.25">
      <c r="B30" s="67">
        <f t="shared" si="9"/>
        <v>23</v>
      </c>
      <c r="C30" s="67">
        <f t="shared" si="8"/>
        <v>1</v>
      </c>
      <c r="D30" s="67">
        <f t="shared" si="1"/>
        <v>2020</v>
      </c>
      <c r="E30" s="122">
        <f t="shared" si="2"/>
        <v>43861</v>
      </c>
      <c r="F30" s="67">
        <f t="shared" si="6"/>
        <v>-5175691</v>
      </c>
      <c r="G30" s="67">
        <f t="shared" si="4"/>
        <v>11342464.819242408</v>
      </c>
      <c r="H30" s="67">
        <f>-SUMIFS('Расчёт.Постоянные расходы'!$I$6:$I$130,'Расчёт.Постоянные расходы'!$B$6:$B$130,"&lt;="&amp;Расчёт.Окупаемости!B30)</f>
        <v>-12880000</v>
      </c>
      <c r="I30" s="67">
        <f>-SUMIFS(Персонал!$V:$V,Персонал!$O:$O,"&lt;="&amp;Расчёт.Окупаемости!B30)</f>
        <v>-12967500</v>
      </c>
      <c r="J30" s="67">
        <f>Расчёт.ПрибылиВсё!N30+J29</f>
        <v>-766331.01409090846</v>
      </c>
      <c r="K30" s="67">
        <f>SUMIFS('План продаж'!$Q$6:$Q$66,'План продаж'!$B$6:$B$66,"&lt;="&amp;Расчёт.Окупаемости!B30)</f>
        <v>37984941.666666649</v>
      </c>
      <c r="L30" s="67">
        <f>'Заёмные средства'!Q29</f>
        <v>-28645.833333333325</v>
      </c>
      <c r="M30" s="67">
        <f t="shared" si="5"/>
        <v>6166773.8192424085</v>
      </c>
      <c r="N30" s="67">
        <f t="shared" si="7"/>
        <v>9</v>
      </c>
      <c r="O30" s="58">
        <f>'Заёмные средства'!M29</f>
        <v>2138888.8888888885</v>
      </c>
    </row>
    <row r="31" spans="2:17" x14ac:dyDescent="0.25">
      <c r="B31" s="67">
        <f t="shared" si="9"/>
        <v>24</v>
      </c>
      <c r="C31" s="67">
        <f t="shared" si="8"/>
        <v>2</v>
      </c>
      <c r="D31" s="67">
        <f t="shared" si="1"/>
        <v>2020</v>
      </c>
      <c r="E31" s="122">
        <f t="shared" si="2"/>
        <v>43890</v>
      </c>
      <c r="F31" s="67">
        <f t="shared" si="6"/>
        <v>-5175691</v>
      </c>
      <c r="G31" s="67">
        <f t="shared" si="4"/>
        <v>12350590.435631294</v>
      </c>
      <c r="H31" s="67">
        <f>-SUMIFS('Расчёт.Постоянные расходы'!$I$6:$I$130,'Расчёт.Постоянные расходы'!$B$6:$B$130,"&lt;="&amp;Расчёт.Окупаемости!B31)</f>
        <v>-13440000</v>
      </c>
      <c r="I31" s="67">
        <f>-SUMIFS(Персонал!$V:$V,Персонал!$O:$O,"&lt;="&amp;Расчёт.Окупаемости!B31)</f>
        <v>-13572000</v>
      </c>
      <c r="J31" s="67">
        <f>Расчёт.ПрибылиВсё!N31+J30</f>
        <v>-846881.78659090842</v>
      </c>
      <c r="K31" s="67">
        <f>SUMIFS('План продаж'!$Q$6:$Q$66,'План продаж'!$B$6:$B$66,"&lt;="&amp;Расчёт.Окупаемости!B31)</f>
        <v>40236208.333333313</v>
      </c>
      <c r="L31" s="67">
        <f>'Заёмные средства'!Q30</f>
        <v>-26736.111111111106</v>
      </c>
      <c r="M31" s="67">
        <f t="shared" si="5"/>
        <v>7174899.4356312938</v>
      </c>
      <c r="N31" s="67">
        <f t="shared" si="7"/>
        <v>10</v>
      </c>
      <c r="O31" s="58">
        <f>'Заёмные средства'!M30</f>
        <v>1986111.1111111108</v>
      </c>
    </row>
    <row r="32" spans="2:17" x14ac:dyDescent="0.25">
      <c r="B32" s="67">
        <f t="shared" si="9"/>
        <v>25</v>
      </c>
      <c r="C32" s="67">
        <f t="shared" si="8"/>
        <v>3</v>
      </c>
      <c r="D32" s="67">
        <f t="shared" si="1"/>
        <v>2020</v>
      </c>
      <c r="E32" s="122">
        <f t="shared" si="2"/>
        <v>43921</v>
      </c>
      <c r="F32" s="67">
        <f t="shared" si="6"/>
        <v>-5175691</v>
      </c>
      <c r="G32" s="67">
        <f t="shared" si="4"/>
        <v>13358716.052020181</v>
      </c>
      <c r="H32" s="67">
        <f>-SUMIFS('Расчёт.Постоянные расходы'!$I$6:$I$130,'Расчёт.Постоянные расходы'!$B$6:$B$130,"&lt;="&amp;Расчёт.Окупаемости!B32)</f>
        <v>-14000000</v>
      </c>
      <c r="I32" s="67">
        <f>-SUMIFS(Персонал!$V:$V,Персонал!$O:$O,"&lt;="&amp;Расчёт.Окупаемости!B32)</f>
        <v>-14176500</v>
      </c>
      <c r="J32" s="67">
        <f>Расчёт.ПрибылиВсё!N32+J31</f>
        <v>-927432.55909090838</v>
      </c>
      <c r="K32" s="67">
        <f>SUMIFS('План продаж'!$Q$6:$Q$66,'План продаж'!$B$6:$B$66,"&lt;="&amp;Расчёт.Окупаемости!B32)</f>
        <v>42487474.999999978</v>
      </c>
      <c r="L32" s="67">
        <f>'Заёмные средства'!Q31</f>
        <v>-24826.388888888883</v>
      </c>
      <c r="M32" s="67">
        <f t="shared" si="5"/>
        <v>8183025.052020181</v>
      </c>
      <c r="N32" s="67">
        <f t="shared" si="7"/>
        <v>11</v>
      </c>
      <c r="O32" s="58">
        <f>'Заёмные средства'!M31</f>
        <v>1833333.333333333</v>
      </c>
    </row>
    <row r="33" spans="2:15" x14ac:dyDescent="0.25">
      <c r="B33" s="67">
        <f t="shared" si="9"/>
        <v>26</v>
      </c>
      <c r="C33" s="67">
        <f t="shared" si="8"/>
        <v>4</v>
      </c>
      <c r="D33" s="67">
        <f t="shared" si="1"/>
        <v>2020</v>
      </c>
      <c r="E33" s="122">
        <f t="shared" si="2"/>
        <v>43951</v>
      </c>
      <c r="F33" s="67">
        <f t="shared" si="6"/>
        <v>-5175691</v>
      </c>
      <c r="G33" s="67">
        <f t="shared" si="4"/>
        <v>14366841.668409066</v>
      </c>
      <c r="H33" s="67">
        <f>-SUMIFS('Расчёт.Постоянные расходы'!$I$6:$I$130,'Расчёт.Постоянные расходы'!$B$6:$B$130,"&lt;="&amp;Расчёт.Окупаемости!B33)</f>
        <v>-14560000</v>
      </c>
      <c r="I33" s="67">
        <f>-SUMIFS(Персонал!$V:$V,Персонал!$O:$O,"&lt;="&amp;Расчёт.Окупаемости!B33)</f>
        <v>-14781000</v>
      </c>
      <c r="J33" s="67">
        <f>Расчёт.ПрибылиВсё!N33+J32</f>
        <v>-1007983.3315909083</v>
      </c>
      <c r="K33" s="67">
        <f>SUMIFS('План продаж'!$Q$6:$Q$66,'План продаж'!$B$6:$B$66,"&lt;="&amp;Расчёт.Окупаемости!B33)</f>
        <v>44738741.666666642</v>
      </c>
      <c r="L33" s="67">
        <f>'Заёмные средства'!Q32</f>
        <v>-22916.666666666661</v>
      </c>
      <c r="M33" s="67">
        <f t="shared" si="5"/>
        <v>9191150.6684090663</v>
      </c>
      <c r="N33" s="67">
        <f t="shared" si="7"/>
        <v>12</v>
      </c>
      <c r="O33" s="58">
        <f>'Заёмные средства'!M32</f>
        <v>1680555.5555555553</v>
      </c>
    </row>
    <row r="34" spans="2:15" x14ac:dyDescent="0.25">
      <c r="B34" s="67">
        <f t="shared" si="9"/>
        <v>27</v>
      </c>
      <c r="C34" s="67">
        <f t="shared" si="8"/>
        <v>5</v>
      </c>
      <c r="D34" s="67">
        <f t="shared" si="1"/>
        <v>2020</v>
      </c>
      <c r="E34" s="122">
        <f t="shared" si="2"/>
        <v>43982</v>
      </c>
      <c r="F34" s="67">
        <f t="shared" si="6"/>
        <v>-5175691</v>
      </c>
      <c r="G34" s="67">
        <f t="shared" si="4"/>
        <v>14864651.390631288</v>
      </c>
      <c r="H34" s="67">
        <f>-SUMIFS('Расчёт.Постоянные расходы'!$I$6:$I$130,'Расчёт.Постоянные расходы'!$B$6:$B$130,"&lt;="&amp;Расчёт.Окупаемости!B34)</f>
        <v>-15120000</v>
      </c>
      <c r="I34" s="67">
        <f>-SUMIFS(Персонал!$V:$V,Персонал!$O:$O,"&lt;="&amp;Расчёт.Окупаемости!B34)</f>
        <v>-15385500</v>
      </c>
      <c r="J34" s="67">
        <f>Расчёт.ПрибылиВсё!N34+J33</f>
        <v>-1036033.3315909083</v>
      </c>
      <c r="K34" s="67">
        <f>SUMIFS('План продаж'!$Q$6:$Q$66,'План продаж'!$B$6:$B$66,"&lt;="&amp;Расчёт.Окупаемости!B34)</f>
        <v>46427191.666666642</v>
      </c>
      <c r="L34" s="67">
        <f>'Заёмные средства'!Q33</f>
        <v>-21006.944444444438</v>
      </c>
      <c r="M34" s="67">
        <f t="shared" si="5"/>
        <v>9688960.3906312883</v>
      </c>
      <c r="N34" s="67">
        <f t="shared" si="7"/>
        <v>13</v>
      </c>
      <c r="O34" s="58">
        <f>'Заёмные средства'!M33</f>
        <v>1527777.7777777775</v>
      </c>
    </row>
    <row r="35" spans="2:15" x14ac:dyDescent="0.25">
      <c r="B35" s="67">
        <f t="shared" si="9"/>
        <v>28</v>
      </c>
      <c r="C35" s="67">
        <f t="shared" si="8"/>
        <v>6</v>
      </c>
      <c r="D35" s="67">
        <f t="shared" si="1"/>
        <v>2020</v>
      </c>
      <c r="E35" s="122">
        <f t="shared" si="2"/>
        <v>44012</v>
      </c>
      <c r="F35" s="67">
        <f t="shared" si="6"/>
        <v>-5175691</v>
      </c>
      <c r="G35" s="67">
        <f t="shared" si="4"/>
        <v>15362461.11285351</v>
      </c>
      <c r="H35" s="67">
        <f>-SUMIFS('Расчёт.Постоянные расходы'!$I$6:$I$130,'Расчёт.Постоянные расходы'!$B$6:$B$130,"&lt;="&amp;Расчёт.Окупаемости!B35)</f>
        <v>-15680000</v>
      </c>
      <c r="I35" s="67">
        <f>-SUMIFS(Персонал!$V:$V,Персонал!$O:$O,"&lt;="&amp;Расчёт.Окупаемости!B35)</f>
        <v>-15990000</v>
      </c>
      <c r="J35" s="67">
        <f>Расчёт.ПрибылиВсё!N35+J34</f>
        <v>-1064083.3315909083</v>
      </c>
      <c r="K35" s="67">
        <f>SUMIFS('План продаж'!$Q$6:$Q$66,'План продаж'!$B$6:$B$66,"&lt;="&amp;Расчёт.Окупаемости!B35)</f>
        <v>48115641.666666642</v>
      </c>
      <c r="L35" s="67">
        <f>'Заёмные средства'!Q34</f>
        <v>-19097.222222222219</v>
      </c>
      <c r="M35" s="67">
        <f t="shared" si="5"/>
        <v>10186770.11285351</v>
      </c>
      <c r="N35" s="67">
        <f t="shared" si="7"/>
        <v>14</v>
      </c>
      <c r="O35" s="58">
        <f>'Заёмные средства'!M34</f>
        <v>1374999.9999999998</v>
      </c>
    </row>
    <row r="36" spans="2:15" x14ac:dyDescent="0.25">
      <c r="B36" s="67">
        <f t="shared" si="9"/>
        <v>29</v>
      </c>
      <c r="C36" s="67">
        <f t="shared" si="8"/>
        <v>7</v>
      </c>
      <c r="D36" s="67">
        <f t="shared" si="1"/>
        <v>2020</v>
      </c>
      <c r="E36" s="122">
        <f t="shared" si="2"/>
        <v>44043</v>
      </c>
      <c r="F36" s="67">
        <f t="shared" si="6"/>
        <v>-5175691</v>
      </c>
      <c r="G36" s="67">
        <f t="shared" si="4"/>
        <v>15860270.835075736</v>
      </c>
      <c r="H36" s="67">
        <f>-SUMIFS('Расчёт.Постоянные расходы'!$I$6:$I$130,'Расчёт.Постоянные расходы'!$B$6:$B$130,"&lt;="&amp;Расчёт.Окупаемости!B36)</f>
        <v>-16240000</v>
      </c>
      <c r="I36" s="67">
        <f>-SUMIFS(Персонал!$V:$V,Персонал!$O:$O,"&lt;="&amp;Расчёт.Окупаемости!B36)</f>
        <v>-16594500</v>
      </c>
      <c r="J36" s="67">
        <f>Расчёт.ПрибылиВсё!N36+J35</f>
        <v>-1092133.3315909083</v>
      </c>
      <c r="K36" s="67">
        <f>SUMIFS('План продаж'!$Q$6:$Q$66,'План продаж'!$B$6:$B$66,"&lt;="&amp;Расчёт.Окупаемости!B36)</f>
        <v>49804091.666666642</v>
      </c>
      <c r="L36" s="67">
        <f>'Заёмные средства'!Q35</f>
        <v>-17187.499999999996</v>
      </c>
      <c r="M36" s="67">
        <f t="shared" si="5"/>
        <v>10684579.835075736</v>
      </c>
      <c r="N36" s="67">
        <f t="shared" si="7"/>
        <v>15</v>
      </c>
      <c r="O36" s="58">
        <f>'Заёмные средства'!M35</f>
        <v>1222222.222222222</v>
      </c>
    </row>
    <row r="37" spans="2:15" x14ac:dyDescent="0.25">
      <c r="B37" s="67">
        <f t="shared" si="9"/>
        <v>30</v>
      </c>
      <c r="C37" s="67">
        <f t="shared" si="8"/>
        <v>8</v>
      </c>
      <c r="D37" s="67">
        <f t="shared" si="1"/>
        <v>2020</v>
      </c>
      <c r="E37" s="122">
        <f t="shared" si="2"/>
        <v>44074</v>
      </c>
      <c r="F37" s="67">
        <f t="shared" si="6"/>
        <v>-5175691</v>
      </c>
      <c r="G37" s="67">
        <f t="shared" si="4"/>
        <v>16358080.557297958</v>
      </c>
      <c r="H37" s="67">
        <f>-SUMIFS('Расчёт.Постоянные расходы'!$I$6:$I$130,'Расчёт.Постоянные расходы'!$B$6:$B$130,"&lt;="&amp;Расчёт.Окупаемости!B37)</f>
        <v>-16800000</v>
      </c>
      <c r="I37" s="67">
        <f>-SUMIFS(Персонал!$V:$V,Персонал!$O:$O,"&lt;="&amp;Расчёт.Окупаемости!B37)</f>
        <v>-17199000</v>
      </c>
      <c r="J37" s="67">
        <f>Расчёт.ПрибылиВсё!N37+J36</f>
        <v>-1120183.3315909083</v>
      </c>
      <c r="K37" s="67">
        <f>SUMIFS('План продаж'!$Q$6:$Q$66,'План продаж'!$B$6:$B$66,"&lt;="&amp;Расчёт.Окупаемости!B37)</f>
        <v>51492541.666666642</v>
      </c>
      <c r="L37" s="67">
        <f>'Заёмные средства'!Q36</f>
        <v>-15277.777777777774</v>
      </c>
      <c r="M37" s="67">
        <f t="shared" si="5"/>
        <v>11182389.557297958</v>
      </c>
      <c r="N37" s="67">
        <f t="shared" si="7"/>
        <v>16</v>
      </c>
      <c r="O37" s="58">
        <f>'Заёмные средства'!M36</f>
        <v>1069444.4444444443</v>
      </c>
    </row>
    <row r="38" spans="2:15" x14ac:dyDescent="0.25">
      <c r="B38" s="67">
        <f t="shared" si="9"/>
        <v>31</v>
      </c>
      <c r="C38" s="67">
        <f t="shared" si="8"/>
        <v>9</v>
      </c>
      <c r="D38" s="67">
        <f t="shared" si="1"/>
        <v>2020</v>
      </c>
      <c r="E38" s="122">
        <f t="shared" si="2"/>
        <v>44104</v>
      </c>
      <c r="F38" s="67">
        <f t="shared" si="6"/>
        <v>-5175691</v>
      </c>
      <c r="G38" s="67">
        <f t="shared" si="4"/>
        <v>16855890.27952018</v>
      </c>
      <c r="H38" s="67">
        <f>-SUMIFS('Расчёт.Постоянные расходы'!$I$6:$I$130,'Расчёт.Постоянные расходы'!$B$6:$B$130,"&lt;="&amp;Расчёт.Окупаемости!B38)</f>
        <v>-17360000</v>
      </c>
      <c r="I38" s="67">
        <f>-SUMIFS(Персонал!$V:$V,Персонал!$O:$O,"&lt;="&amp;Расчёт.Окупаемости!B38)</f>
        <v>-17803500</v>
      </c>
      <c r="J38" s="67">
        <f>Расчёт.ПрибылиВсё!N38+J37</f>
        <v>-1148233.3315909083</v>
      </c>
      <c r="K38" s="67">
        <f>SUMIFS('План продаж'!$Q$6:$Q$66,'План продаж'!$B$6:$B$66,"&lt;="&amp;Расчёт.Окупаемости!B38)</f>
        <v>53180991.666666642</v>
      </c>
      <c r="L38" s="67">
        <f>'Заёмные средства'!Q37</f>
        <v>-13368.055555555553</v>
      </c>
      <c r="M38" s="67">
        <f t="shared" si="5"/>
        <v>11680199.27952018</v>
      </c>
      <c r="N38" s="67">
        <f t="shared" si="7"/>
        <v>17</v>
      </c>
      <c r="O38" s="58">
        <f>'Заёмные средства'!M37</f>
        <v>916666.66666666651</v>
      </c>
    </row>
    <row r="39" spans="2:15" x14ac:dyDescent="0.25">
      <c r="B39" s="67">
        <f t="shared" si="9"/>
        <v>32</v>
      </c>
      <c r="C39" s="67">
        <f t="shared" si="8"/>
        <v>10</v>
      </c>
      <c r="D39" s="67">
        <f t="shared" si="1"/>
        <v>2020</v>
      </c>
      <c r="E39" s="122">
        <f t="shared" ref="E39:E67" si="10">EOMONTH(ДатаНачала,B39)</f>
        <v>44135</v>
      </c>
      <c r="F39" s="67">
        <f t="shared" si="6"/>
        <v>-5175691</v>
      </c>
      <c r="G39" s="67">
        <f t="shared" si="4"/>
        <v>17864015.895909067</v>
      </c>
      <c r="H39" s="67">
        <f>-SUMIFS('Расчёт.Постоянные расходы'!$I$6:$I$130,'Расчёт.Постоянные расходы'!$B$6:$B$130,"&lt;="&amp;Расчёт.Окупаемости!B39)</f>
        <v>-17920000</v>
      </c>
      <c r="I39" s="67">
        <f>-SUMIFS(Персонал!$V:$V,Персонал!$O:$O,"&lt;="&amp;Расчёт.Окупаемости!B39)</f>
        <v>-18408000</v>
      </c>
      <c r="J39" s="67">
        <f>Расчёт.ПрибылиВсё!N39+J38</f>
        <v>-1228784.1040909083</v>
      </c>
      <c r="K39" s="67">
        <f>SUMIFS('План продаж'!$Q$6:$Q$66,'План продаж'!$B$6:$B$66,"&lt;="&amp;Расчёт.Окупаемости!B39)</f>
        <v>55432258.333333306</v>
      </c>
      <c r="L39" s="67">
        <f>'Заёмные средства'!Q38</f>
        <v>-11458.33333333333</v>
      </c>
      <c r="M39" s="67">
        <f t="shared" si="5"/>
        <v>12688324.895909067</v>
      </c>
      <c r="N39" s="67">
        <f t="shared" si="7"/>
        <v>18</v>
      </c>
      <c r="O39" s="58">
        <f>'Заёмные средства'!M38</f>
        <v>763888.88888888876</v>
      </c>
    </row>
    <row r="40" spans="2:15" x14ac:dyDescent="0.25">
      <c r="B40" s="67">
        <f t="shared" si="9"/>
        <v>33</v>
      </c>
      <c r="C40" s="67">
        <f t="shared" si="8"/>
        <v>11</v>
      </c>
      <c r="D40" s="67">
        <f t="shared" si="1"/>
        <v>2020</v>
      </c>
      <c r="E40" s="122">
        <f t="shared" si="10"/>
        <v>44165</v>
      </c>
      <c r="F40" s="67">
        <f t="shared" si="6"/>
        <v>-5175691</v>
      </c>
      <c r="G40" s="67">
        <f t="shared" si="4"/>
        <v>18872141.512297951</v>
      </c>
      <c r="H40" s="67">
        <f>-SUMIFS('Расчёт.Постоянные расходы'!$I$6:$I$130,'Расчёт.Постоянные расходы'!$B$6:$B$130,"&lt;="&amp;Расчёт.Окупаемости!B40)</f>
        <v>-18480000</v>
      </c>
      <c r="I40" s="67">
        <f>-SUMIFS(Персонал!$V:$V,Персонал!$O:$O,"&lt;="&amp;Расчёт.Окупаемости!B40)</f>
        <v>-19012500</v>
      </c>
      <c r="J40" s="67">
        <f>Расчёт.ПрибылиВсё!N40+J39</f>
        <v>-1309334.8765909083</v>
      </c>
      <c r="K40" s="67">
        <f>SUMIFS('План продаж'!$Q$6:$Q$66,'План продаж'!$B$6:$B$66,"&lt;="&amp;Расчёт.Окупаемости!B40)</f>
        <v>57683524.99999997</v>
      </c>
      <c r="L40" s="67">
        <f>'Заёмные средства'!Q39</f>
        <v>-9548.6111111111095</v>
      </c>
      <c r="M40" s="67">
        <f t="shared" si="5"/>
        <v>13696450.512297951</v>
      </c>
      <c r="N40" s="67">
        <f t="shared" si="7"/>
        <v>19</v>
      </c>
      <c r="O40" s="58">
        <f>'Заёмные средства'!M39</f>
        <v>611111.11111111101</v>
      </c>
    </row>
    <row r="41" spans="2:15" x14ac:dyDescent="0.25">
      <c r="B41" s="67">
        <f t="shared" si="9"/>
        <v>34</v>
      </c>
      <c r="C41" s="67">
        <f t="shared" si="8"/>
        <v>12</v>
      </c>
      <c r="D41" s="67">
        <f t="shared" si="1"/>
        <v>2020</v>
      </c>
      <c r="E41" s="122">
        <f t="shared" si="10"/>
        <v>44196</v>
      </c>
      <c r="F41" s="67">
        <f t="shared" si="6"/>
        <v>-5175691</v>
      </c>
      <c r="G41" s="67">
        <f t="shared" si="4"/>
        <v>19880267.128686838</v>
      </c>
      <c r="H41" s="67">
        <f>-SUMIFS('Расчёт.Постоянные расходы'!$I$6:$I$130,'Расчёт.Постоянные расходы'!$B$6:$B$130,"&lt;="&amp;Расчёт.Окупаемости!B41)</f>
        <v>-19040000</v>
      </c>
      <c r="I41" s="67">
        <f>-SUMIFS(Персонал!$V:$V,Персонал!$O:$O,"&lt;="&amp;Расчёт.Окупаемости!B41)</f>
        <v>-19617000</v>
      </c>
      <c r="J41" s="67">
        <f>Расчёт.ПрибылиВсё!N41+J40</f>
        <v>-1389885.6490909082</v>
      </c>
      <c r="K41" s="67">
        <f>SUMIFS('План продаж'!$Q$6:$Q$66,'План продаж'!$B$6:$B$66,"&lt;="&amp;Расчёт.Окупаемости!B41)</f>
        <v>59934791.666666634</v>
      </c>
      <c r="L41" s="67">
        <f>'Заёмные средства'!Q40</f>
        <v>-7638.8888888888869</v>
      </c>
      <c r="M41" s="67">
        <f t="shared" si="5"/>
        <v>14704576.128686838</v>
      </c>
      <c r="N41" s="67">
        <f t="shared" si="7"/>
        <v>20</v>
      </c>
      <c r="O41" s="58">
        <f>'Заёмные средства'!M40</f>
        <v>458333.33333333326</v>
      </c>
    </row>
    <row r="42" spans="2:15" x14ac:dyDescent="0.25">
      <c r="B42" s="67">
        <f t="shared" si="9"/>
        <v>35</v>
      </c>
      <c r="C42" s="67">
        <f t="shared" si="8"/>
        <v>1</v>
      </c>
      <c r="D42" s="67">
        <f t="shared" si="1"/>
        <v>2021</v>
      </c>
      <c r="E42" s="122">
        <f t="shared" si="10"/>
        <v>44227</v>
      </c>
      <c r="F42" s="67">
        <f t="shared" si="6"/>
        <v>-5175691</v>
      </c>
      <c r="G42" s="67">
        <f t="shared" si="4"/>
        <v>20888392.745075721</v>
      </c>
      <c r="H42" s="67">
        <f>-SUMIFS('Расчёт.Постоянные расходы'!$I$6:$I$130,'Расчёт.Постоянные расходы'!$B$6:$B$130,"&lt;="&amp;Расчёт.Окупаемости!B42)</f>
        <v>-19600000</v>
      </c>
      <c r="I42" s="67">
        <f>-SUMIFS(Персонал!$V:$V,Персонал!$O:$O,"&lt;="&amp;Расчёт.Окупаемости!B42)</f>
        <v>-20221500</v>
      </c>
      <c r="J42" s="67">
        <f>Расчёт.ПрибылиВсё!N42+J41</f>
        <v>-1470436.4215909082</v>
      </c>
      <c r="K42" s="67">
        <f>SUMIFS('План продаж'!$Q$6:$Q$66,'План продаж'!$B$6:$B$66,"&lt;="&amp;Расчёт.Окупаемости!B42)</f>
        <v>62186058.333333299</v>
      </c>
      <c r="L42" s="67">
        <f>'Заёмные средства'!Q41</f>
        <v>-5729.1666666666652</v>
      </c>
      <c r="M42" s="67">
        <f t="shared" si="5"/>
        <v>15712701.745075721</v>
      </c>
      <c r="N42" s="67">
        <f t="shared" si="7"/>
        <v>21</v>
      </c>
      <c r="O42" s="58">
        <f>'Заёмные средства'!M41</f>
        <v>305555.5555555555</v>
      </c>
    </row>
    <row r="43" spans="2:15" x14ac:dyDescent="0.25">
      <c r="B43" s="67">
        <f t="shared" si="9"/>
        <v>36</v>
      </c>
      <c r="C43" s="67">
        <f t="shared" si="8"/>
        <v>2</v>
      </c>
      <c r="D43" s="67">
        <f t="shared" si="1"/>
        <v>2021</v>
      </c>
      <c r="E43" s="122">
        <f t="shared" si="10"/>
        <v>44255</v>
      </c>
      <c r="F43" s="67">
        <f t="shared" si="6"/>
        <v>-5175691</v>
      </c>
      <c r="G43" s="67">
        <f t="shared" si="4"/>
        <v>21896518.361464608</v>
      </c>
      <c r="H43" s="67">
        <f>-SUMIFS('Расчёт.Постоянные расходы'!$I$6:$I$130,'Расчёт.Постоянные расходы'!$B$6:$B$130,"&lt;="&amp;Расчёт.Окупаемости!B43)</f>
        <v>-20160000</v>
      </c>
      <c r="I43" s="67">
        <f>-SUMIFS(Персонал!$V:$V,Персонал!$O:$O,"&lt;="&amp;Расчёт.Окупаемости!B43)</f>
        <v>-20826000</v>
      </c>
      <c r="J43" s="67">
        <f>Расчёт.ПрибылиВсё!N43+J42</f>
        <v>-1550987.1940909082</v>
      </c>
      <c r="K43" s="67">
        <f>SUMIFS('План продаж'!$Q$6:$Q$66,'План продаж'!$B$6:$B$66,"&lt;="&amp;Расчёт.Окупаемости!B43)</f>
        <v>64437324.999999963</v>
      </c>
      <c r="L43" s="67">
        <f>'Заёмные средства'!Q42</f>
        <v>-3819.4444444444434</v>
      </c>
      <c r="M43" s="67">
        <f t="shared" si="5"/>
        <v>16720827.361464608</v>
      </c>
      <c r="N43" s="67">
        <f t="shared" si="7"/>
        <v>22</v>
      </c>
      <c r="O43" s="58">
        <f>'Заёмные средства'!M42</f>
        <v>152777.77777777775</v>
      </c>
    </row>
    <row r="44" spans="2:15" x14ac:dyDescent="0.25">
      <c r="B44" s="67">
        <f t="shared" si="9"/>
        <v>37</v>
      </c>
      <c r="C44" s="67">
        <f t="shared" si="8"/>
        <v>3</v>
      </c>
      <c r="D44" s="67">
        <f t="shared" si="1"/>
        <v>2021</v>
      </c>
      <c r="E44" s="122">
        <f t="shared" si="10"/>
        <v>44286</v>
      </c>
      <c r="F44" s="67">
        <f t="shared" si="6"/>
        <v>-5175691</v>
      </c>
      <c r="G44" s="67">
        <f t="shared" si="4"/>
        <v>22904643.977853492</v>
      </c>
      <c r="H44" s="67">
        <f>-SUMIFS('Расчёт.Постоянные расходы'!$I$6:$I$130,'Расчёт.Постоянные расходы'!$B$6:$B$130,"&lt;="&amp;Расчёт.Окупаемости!B44)</f>
        <v>-20720000</v>
      </c>
      <c r="I44" s="67">
        <f>-SUMIFS(Персонал!$V:$V,Персонал!$O:$O,"&lt;="&amp;Расчёт.Окупаемости!B44)</f>
        <v>-21430500</v>
      </c>
      <c r="J44" s="67">
        <f>Расчёт.ПрибылиВсё!N44+J43</f>
        <v>-1631537.9665909081</v>
      </c>
      <c r="K44" s="67">
        <f>SUMIFS('План продаж'!$Q$6:$Q$66,'План продаж'!$B$6:$B$66,"&lt;="&amp;Расчёт.Окупаемости!B44)</f>
        <v>66688591.666666627</v>
      </c>
      <c r="L44" s="67">
        <f>'Заёмные средства'!Q43</f>
        <v>-1909.7222222222217</v>
      </c>
      <c r="M44" s="67">
        <f t="shared" si="5"/>
        <v>17728952.977853492</v>
      </c>
      <c r="N44" s="67">
        <f t="shared" si="7"/>
        <v>23</v>
      </c>
      <c r="O44" s="58">
        <f>'Заёмные средства'!M43</f>
        <v>0</v>
      </c>
    </row>
    <row r="45" spans="2:15" x14ac:dyDescent="0.25">
      <c r="B45" s="67">
        <f t="shared" si="9"/>
        <v>38</v>
      </c>
      <c r="C45" s="67">
        <f t="shared" si="8"/>
        <v>4</v>
      </c>
      <c r="D45" s="67">
        <f t="shared" si="1"/>
        <v>2021</v>
      </c>
      <c r="E45" s="122">
        <f t="shared" si="10"/>
        <v>44316</v>
      </c>
      <c r="F45" s="67">
        <f t="shared" si="6"/>
        <v>-5175691</v>
      </c>
      <c r="G45" s="67">
        <f t="shared" si="4"/>
        <v>23912769.594242394</v>
      </c>
      <c r="H45" s="67">
        <f>-SUMIFS('Расчёт.Постоянные расходы'!$I$6:$I$130,'Расчёт.Постоянные расходы'!$B$6:$B$130,"&lt;="&amp;Расчёт.Окупаемости!B45)</f>
        <v>-21280000</v>
      </c>
      <c r="I45" s="67">
        <f>-SUMIFS(Персонал!$V:$V,Персонал!$O:$O,"&lt;="&amp;Расчёт.Окупаемости!B45)</f>
        <v>-22035000</v>
      </c>
      <c r="J45" s="67">
        <f>Расчёт.ПрибылиВсё!N45+J44</f>
        <v>-1712088.7390909081</v>
      </c>
      <c r="K45" s="67">
        <f>SUMIFS('План продаж'!$Q$6:$Q$66,'План продаж'!$B$6:$B$66,"&lt;="&amp;Расчёт.Окупаемости!B45)</f>
        <v>68939858.333333299</v>
      </c>
      <c r="L45" s="67">
        <f>'Заёмные средства'!Q44</f>
        <v>0</v>
      </c>
      <c r="M45" s="67">
        <f t="shared" si="5"/>
        <v>18737078.594242394</v>
      </c>
      <c r="N45" s="67">
        <f t="shared" si="7"/>
        <v>24</v>
      </c>
      <c r="O45" s="58">
        <f>'Заёмные средства'!M44</f>
        <v>0</v>
      </c>
    </row>
    <row r="46" spans="2:15" x14ac:dyDescent="0.25">
      <c r="B46" s="67">
        <f t="shared" si="9"/>
        <v>39</v>
      </c>
      <c r="C46" s="67">
        <f t="shared" si="8"/>
        <v>5</v>
      </c>
      <c r="D46" s="67">
        <f t="shared" si="1"/>
        <v>2021</v>
      </c>
      <c r="E46" s="122">
        <f t="shared" si="10"/>
        <v>44347</v>
      </c>
      <c r="F46" s="67">
        <f t="shared" si="6"/>
        <v>-5175691</v>
      </c>
      <c r="G46" s="67">
        <f t="shared" si="4"/>
        <v>24408669.594242394</v>
      </c>
      <c r="H46" s="67">
        <f>-SUMIFS('Расчёт.Постоянные расходы'!$I$6:$I$130,'Расчёт.Постоянные расходы'!$B$6:$B$130,"&lt;="&amp;Расчёт.Окупаемости!B46)</f>
        <v>-21840000</v>
      </c>
      <c r="I46" s="67">
        <f>-SUMIFS(Персонал!$V:$V,Персонал!$O:$O,"&lt;="&amp;Расчёт.Окупаемости!B46)</f>
        <v>-22639500</v>
      </c>
      <c r="J46" s="67">
        <f>Расчёт.ПрибылиВсё!N46+J45</f>
        <v>-1740138.7390909081</v>
      </c>
      <c r="K46" s="67">
        <f>SUMIFS('План продаж'!$Q$6:$Q$66,'План продаж'!$B$6:$B$66,"&lt;="&amp;Расчёт.Окупаемости!B46)</f>
        <v>70628308.333333299</v>
      </c>
      <c r="L46" s="67">
        <f>'Заёмные средства'!Q45</f>
        <v>0</v>
      </c>
      <c r="M46" s="67">
        <f t="shared" si="5"/>
        <v>19232978.594242394</v>
      </c>
      <c r="N46" s="67">
        <f t="shared" si="7"/>
        <v>25</v>
      </c>
      <c r="O46" s="58">
        <f>'Заёмные средства'!M45</f>
        <v>0</v>
      </c>
    </row>
    <row r="47" spans="2:15" x14ac:dyDescent="0.25">
      <c r="B47" s="67">
        <f t="shared" si="9"/>
        <v>40</v>
      </c>
      <c r="C47" s="67">
        <f t="shared" si="8"/>
        <v>6</v>
      </c>
      <c r="D47" s="67">
        <f t="shared" si="1"/>
        <v>2021</v>
      </c>
      <c r="E47" s="122">
        <f t="shared" si="10"/>
        <v>44377</v>
      </c>
      <c r="F47" s="67">
        <f t="shared" si="6"/>
        <v>-5175691</v>
      </c>
      <c r="G47" s="67">
        <f t="shared" si="4"/>
        <v>24904569.594242394</v>
      </c>
      <c r="H47" s="67">
        <f>-SUMIFS('Расчёт.Постоянные расходы'!$I$6:$I$130,'Расчёт.Постоянные расходы'!$B$6:$B$130,"&lt;="&amp;Расчёт.Окупаемости!B47)</f>
        <v>-22400000</v>
      </c>
      <c r="I47" s="67">
        <f>-SUMIFS(Персонал!$V:$V,Персонал!$O:$O,"&lt;="&amp;Расчёт.Окупаемости!B47)</f>
        <v>-23244000</v>
      </c>
      <c r="J47" s="67">
        <f>Расчёт.ПрибылиВсё!N47+J46</f>
        <v>-1768188.7390909081</v>
      </c>
      <c r="K47" s="67">
        <f>SUMIFS('План продаж'!$Q$6:$Q$66,'План продаж'!$B$6:$B$66,"&lt;="&amp;Расчёт.Окупаемости!B47)</f>
        <v>72316758.333333299</v>
      </c>
      <c r="L47" s="67">
        <f>'Заёмные средства'!Q46</f>
        <v>0</v>
      </c>
      <c r="M47" s="67">
        <f t="shared" si="5"/>
        <v>19728878.594242394</v>
      </c>
      <c r="N47" s="67">
        <f t="shared" si="7"/>
        <v>26</v>
      </c>
      <c r="O47" s="58">
        <f>'Заёмные средства'!M46</f>
        <v>0</v>
      </c>
    </row>
    <row r="48" spans="2:15" x14ac:dyDescent="0.25">
      <c r="B48" s="67">
        <f t="shared" si="9"/>
        <v>41</v>
      </c>
      <c r="C48" s="67">
        <f t="shared" si="8"/>
        <v>7</v>
      </c>
      <c r="D48" s="67">
        <f t="shared" si="1"/>
        <v>2021</v>
      </c>
      <c r="E48" s="122">
        <f t="shared" si="10"/>
        <v>44408</v>
      </c>
      <c r="F48" s="67">
        <f t="shared" si="6"/>
        <v>-5175691</v>
      </c>
      <c r="G48" s="67">
        <f t="shared" si="4"/>
        <v>25400469.594242394</v>
      </c>
      <c r="H48" s="67">
        <f>-SUMIFS('Расчёт.Постоянные расходы'!$I$6:$I$130,'Расчёт.Постоянные расходы'!$B$6:$B$130,"&lt;="&amp;Расчёт.Окупаемости!B48)</f>
        <v>-22960000</v>
      </c>
      <c r="I48" s="67">
        <f>-SUMIFS(Персонал!$V:$V,Персонал!$O:$O,"&lt;="&amp;Расчёт.Окупаемости!B48)</f>
        <v>-23848500</v>
      </c>
      <c r="J48" s="67">
        <f>Расчёт.ПрибылиВсё!N48+J47</f>
        <v>-1796238.7390909081</v>
      </c>
      <c r="K48" s="67">
        <f>SUMIFS('План продаж'!$Q$6:$Q$66,'План продаж'!$B$6:$B$66,"&lt;="&amp;Расчёт.Окупаемости!B48)</f>
        <v>74005208.333333299</v>
      </c>
      <c r="L48" s="67">
        <f>'Заёмные средства'!Q47</f>
        <v>0</v>
      </c>
      <c r="M48" s="67">
        <f t="shared" si="5"/>
        <v>20224778.594242394</v>
      </c>
      <c r="N48" s="67">
        <f t="shared" si="7"/>
        <v>27</v>
      </c>
      <c r="O48" s="58">
        <f>'Заёмные средства'!M47</f>
        <v>0</v>
      </c>
    </row>
    <row r="49" spans="2:15" x14ac:dyDescent="0.25">
      <c r="B49" s="67">
        <f t="shared" si="9"/>
        <v>42</v>
      </c>
      <c r="C49" s="67">
        <f t="shared" si="8"/>
        <v>8</v>
      </c>
      <c r="D49" s="67">
        <f t="shared" si="1"/>
        <v>2021</v>
      </c>
      <c r="E49" s="122">
        <f t="shared" si="10"/>
        <v>44439</v>
      </c>
      <c r="F49" s="67">
        <f t="shared" si="6"/>
        <v>-5175691</v>
      </c>
      <c r="G49" s="67">
        <f t="shared" si="4"/>
        <v>25896369.594242394</v>
      </c>
      <c r="H49" s="67">
        <f>-SUMIFS('Расчёт.Постоянные расходы'!$I$6:$I$130,'Расчёт.Постоянные расходы'!$B$6:$B$130,"&lt;="&amp;Расчёт.Окупаемости!B49)</f>
        <v>-23520000</v>
      </c>
      <c r="I49" s="67">
        <f>-SUMIFS(Персонал!$V:$V,Персонал!$O:$O,"&lt;="&amp;Расчёт.Окупаемости!B49)</f>
        <v>-24453000</v>
      </c>
      <c r="J49" s="67">
        <f>Расчёт.ПрибылиВсё!N49+J48</f>
        <v>-1824288.7390909081</v>
      </c>
      <c r="K49" s="67">
        <f>SUMIFS('План продаж'!$Q$6:$Q$66,'План продаж'!$B$6:$B$66,"&lt;="&amp;Расчёт.Окупаемости!B49)</f>
        <v>75693658.333333299</v>
      </c>
      <c r="L49" s="67">
        <f>'Заёмные средства'!Q48</f>
        <v>0</v>
      </c>
      <c r="M49" s="67">
        <f t="shared" si="5"/>
        <v>20720678.594242394</v>
      </c>
      <c r="N49" s="67">
        <f t="shared" si="7"/>
        <v>28</v>
      </c>
      <c r="O49" s="58">
        <f>'Заёмные средства'!M48</f>
        <v>0</v>
      </c>
    </row>
    <row r="50" spans="2:15" x14ac:dyDescent="0.25">
      <c r="B50" s="67">
        <f t="shared" si="9"/>
        <v>43</v>
      </c>
      <c r="C50" s="67">
        <f t="shared" si="8"/>
        <v>9</v>
      </c>
      <c r="D50" s="67">
        <f t="shared" si="1"/>
        <v>2021</v>
      </c>
      <c r="E50" s="122">
        <f t="shared" si="10"/>
        <v>44469</v>
      </c>
      <c r="F50" s="67">
        <f t="shared" si="6"/>
        <v>-5175691</v>
      </c>
      <c r="G50" s="67">
        <f t="shared" si="4"/>
        <v>26392269.594242394</v>
      </c>
      <c r="H50" s="67">
        <f>-SUMIFS('Расчёт.Постоянные расходы'!$I$6:$I$130,'Расчёт.Постоянные расходы'!$B$6:$B$130,"&lt;="&amp;Расчёт.Окупаемости!B50)</f>
        <v>-24080000</v>
      </c>
      <c r="I50" s="67">
        <f>-SUMIFS(Персонал!$V:$V,Персонал!$O:$O,"&lt;="&amp;Расчёт.Окупаемости!B50)</f>
        <v>-25057500</v>
      </c>
      <c r="J50" s="67">
        <f>Расчёт.ПрибылиВсё!N50+J49</f>
        <v>-1852338.7390909081</v>
      </c>
      <c r="K50" s="67">
        <f>SUMIFS('План продаж'!$Q$6:$Q$66,'План продаж'!$B$6:$B$66,"&lt;="&amp;Расчёт.Окупаемости!B50)</f>
        <v>77382108.333333299</v>
      </c>
      <c r="L50" s="67">
        <f>'Заёмные средства'!Q49</f>
        <v>0</v>
      </c>
      <c r="M50" s="67">
        <f t="shared" si="5"/>
        <v>21216578.594242394</v>
      </c>
      <c r="N50" s="67">
        <f t="shared" si="7"/>
        <v>29</v>
      </c>
      <c r="O50" s="58">
        <f>'Заёмные средства'!M49</f>
        <v>0</v>
      </c>
    </row>
    <row r="51" spans="2:15" x14ac:dyDescent="0.25">
      <c r="B51" s="67">
        <f t="shared" si="9"/>
        <v>44</v>
      </c>
      <c r="C51" s="67">
        <f t="shared" si="8"/>
        <v>10</v>
      </c>
      <c r="D51" s="67">
        <f t="shared" si="1"/>
        <v>2021</v>
      </c>
      <c r="E51" s="122">
        <f t="shared" si="10"/>
        <v>44500</v>
      </c>
      <c r="F51" s="67">
        <f t="shared" si="6"/>
        <v>-5175691</v>
      </c>
      <c r="G51" s="67">
        <f t="shared" si="4"/>
        <v>27398485.488409065</v>
      </c>
      <c r="H51" s="67">
        <f>-SUMIFS('Расчёт.Постоянные расходы'!$I$6:$I$130,'Расчёт.Постоянные расходы'!$B$6:$B$130,"&lt;="&amp;Расчёт.Окупаемости!B51)</f>
        <v>-24640000</v>
      </c>
      <c r="I51" s="67">
        <f>-SUMIFS(Персонал!$V:$V,Персонал!$O:$O,"&lt;="&amp;Расчёт.Окупаемости!B51)</f>
        <v>-25662000</v>
      </c>
      <c r="J51" s="67">
        <f>Расчёт.ПрибылиВсё!N51+J50</f>
        <v>-1932889.511590908</v>
      </c>
      <c r="K51" s="67">
        <f>SUMIFS('План продаж'!$Q$6:$Q$66,'План продаж'!$B$6:$B$66,"&lt;="&amp;Расчёт.Окупаемости!B51)</f>
        <v>79633374.99999997</v>
      </c>
      <c r="L51" s="67">
        <f>'Заёмные средства'!Q50</f>
        <v>0</v>
      </c>
      <c r="M51" s="67">
        <f t="shared" si="5"/>
        <v>22222794.488409065</v>
      </c>
      <c r="N51" s="67">
        <f t="shared" si="7"/>
        <v>30</v>
      </c>
      <c r="O51" s="58">
        <f>'Заёмные средства'!M50</f>
        <v>0</v>
      </c>
    </row>
    <row r="52" spans="2:15" x14ac:dyDescent="0.25">
      <c r="B52" s="67">
        <f t="shared" si="9"/>
        <v>45</v>
      </c>
      <c r="C52" s="67">
        <f t="shared" si="8"/>
        <v>11</v>
      </c>
      <c r="D52" s="67">
        <f t="shared" si="1"/>
        <v>2021</v>
      </c>
      <c r="E52" s="122">
        <f t="shared" si="10"/>
        <v>44530</v>
      </c>
      <c r="F52" s="67">
        <f t="shared" si="6"/>
        <v>-5175691</v>
      </c>
      <c r="G52" s="67">
        <f t="shared" si="4"/>
        <v>28404701.382575735</v>
      </c>
      <c r="H52" s="67">
        <f>-SUMIFS('Расчёт.Постоянные расходы'!$I$6:$I$130,'Расчёт.Постоянные расходы'!$B$6:$B$130,"&lt;="&amp;Расчёт.Окупаемости!B52)</f>
        <v>-25200000</v>
      </c>
      <c r="I52" s="67">
        <f>-SUMIFS(Персонал!$V:$V,Персонал!$O:$O,"&lt;="&amp;Расчёт.Окупаемости!B52)</f>
        <v>-26266500</v>
      </c>
      <c r="J52" s="67">
        <f>Расчёт.ПрибылиВсё!N52+J51</f>
        <v>-2013440.284090908</v>
      </c>
      <c r="K52" s="67">
        <f>SUMIFS('План продаж'!$Q$6:$Q$66,'План продаж'!$B$6:$B$66,"&lt;="&amp;Расчёт.Окупаемости!B52)</f>
        <v>81884641.666666642</v>
      </c>
      <c r="L52" s="67">
        <f>'Заёмные средства'!Q51</f>
        <v>0</v>
      </c>
      <c r="M52" s="67">
        <f t="shared" si="5"/>
        <v>23229010.382575735</v>
      </c>
      <c r="N52" s="67">
        <f t="shared" si="7"/>
        <v>31</v>
      </c>
      <c r="O52" s="58">
        <f>'Заёмные средства'!M51</f>
        <v>0</v>
      </c>
    </row>
    <row r="53" spans="2:15" x14ac:dyDescent="0.25">
      <c r="B53" s="67">
        <f t="shared" si="9"/>
        <v>46</v>
      </c>
      <c r="C53" s="67">
        <f t="shared" si="8"/>
        <v>12</v>
      </c>
      <c r="D53" s="67">
        <f t="shared" si="1"/>
        <v>2021</v>
      </c>
      <c r="E53" s="122">
        <f t="shared" si="10"/>
        <v>44561</v>
      </c>
      <c r="F53" s="67">
        <f t="shared" si="6"/>
        <v>-5175691</v>
      </c>
      <c r="G53" s="67">
        <f t="shared" si="4"/>
        <v>29410917.276742406</v>
      </c>
      <c r="H53" s="67">
        <f>-SUMIFS('Расчёт.Постоянные расходы'!$I$6:$I$130,'Расчёт.Постоянные расходы'!$B$6:$B$130,"&lt;="&amp;Расчёт.Окупаемости!B53)</f>
        <v>-25760000</v>
      </c>
      <c r="I53" s="67">
        <f>-SUMIFS(Персонал!$V:$V,Персонал!$O:$O,"&lt;="&amp;Расчёт.Окупаемости!B53)</f>
        <v>-26871000</v>
      </c>
      <c r="J53" s="67">
        <f>Расчёт.ПрибылиВсё!N53+J52</f>
        <v>-2093991.056590908</v>
      </c>
      <c r="K53" s="67">
        <f>SUMIFS('План продаж'!$Q$6:$Q$66,'План продаж'!$B$6:$B$66,"&lt;="&amp;Расчёт.Окупаемости!B53)</f>
        <v>84135908.333333313</v>
      </c>
      <c r="L53" s="67">
        <f>'Заёмные средства'!Q52</f>
        <v>0</v>
      </c>
      <c r="M53" s="67">
        <f t="shared" si="5"/>
        <v>24235226.276742406</v>
      </c>
      <c r="N53" s="67">
        <f t="shared" si="7"/>
        <v>32</v>
      </c>
      <c r="O53" s="58">
        <f>'Заёмные средства'!M52</f>
        <v>0</v>
      </c>
    </row>
    <row r="54" spans="2:15" x14ac:dyDescent="0.25">
      <c r="B54" s="67">
        <f t="shared" si="9"/>
        <v>47</v>
      </c>
      <c r="C54" s="67">
        <f t="shared" si="8"/>
        <v>1</v>
      </c>
      <c r="D54" s="67">
        <f t="shared" si="1"/>
        <v>2022</v>
      </c>
      <c r="E54" s="122">
        <f t="shared" si="10"/>
        <v>44592</v>
      </c>
      <c r="F54" s="67">
        <f t="shared" si="6"/>
        <v>-5175691</v>
      </c>
      <c r="G54" s="67">
        <f t="shared" si="4"/>
        <v>30417133.170909077</v>
      </c>
      <c r="H54" s="67">
        <f>-SUMIFS('Расчёт.Постоянные расходы'!$I$6:$I$130,'Расчёт.Постоянные расходы'!$B$6:$B$130,"&lt;="&amp;Расчёт.Окупаемости!B54)</f>
        <v>-26320000</v>
      </c>
      <c r="I54" s="67">
        <f>-SUMIFS(Персонал!$V:$V,Персонал!$O:$O,"&lt;="&amp;Расчёт.Окупаемости!B54)</f>
        <v>-27475500</v>
      </c>
      <c r="J54" s="67">
        <f>Расчёт.ПрибылиВсё!N54+J53</f>
        <v>-2174541.8290909077</v>
      </c>
      <c r="K54" s="67">
        <f>SUMIFS('План продаж'!$Q$6:$Q$66,'План продаж'!$B$6:$B$66,"&lt;="&amp;Расчёт.Окупаемости!B54)</f>
        <v>86387174.999999985</v>
      </c>
      <c r="L54" s="67">
        <f>'Заёмные средства'!Q53</f>
        <v>0</v>
      </c>
      <c r="M54" s="67">
        <f t="shared" si="5"/>
        <v>25241442.170909077</v>
      </c>
      <c r="N54" s="67">
        <f t="shared" si="7"/>
        <v>33</v>
      </c>
      <c r="O54" s="58">
        <f>'Заёмные средства'!M53</f>
        <v>0</v>
      </c>
    </row>
    <row r="55" spans="2:15" x14ac:dyDescent="0.25">
      <c r="B55" s="67">
        <f t="shared" si="9"/>
        <v>48</v>
      </c>
      <c r="C55" s="67">
        <f t="shared" si="8"/>
        <v>2</v>
      </c>
      <c r="D55" s="67">
        <f t="shared" si="1"/>
        <v>2022</v>
      </c>
      <c r="E55" s="122">
        <f t="shared" si="10"/>
        <v>44620</v>
      </c>
      <c r="F55" s="67">
        <f t="shared" si="6"/>
        <v>-5175691</v>
      </c>
      <c r="G55" s="67">
        <f t="shared" si="4"/>
        <v>31423349.065075748</v>
      </c>
      <c r="H55" s="67">
        <f>-SUMIFS('Расчёт.Постоянные расходы'!$I$6:$I$130,'Расчёт.Постоянные расходы'!$B$6:$B$130,"&lt;="&amp;Расчёт.Окупаемости!B55)</f>
        <v>-26880000</v>
      </c>
      <c r="I55" s="67">
        <f>-SUMIFS(Персонал!$V:$V,Персонал!$O:$O,"&lt;="&amp;Расчёт.Окупаемости!B55)</f>
        <v>-28080000</v>
      </c>
      <c r="J55" s="67">
        <f>Расчёт.ПрибылиВсё!N55+J54</f>
        <v>-2255092.6015909077</v>
      </c>
      <c r="K55" s="67">
        <f>SUMIFS('План продаж'!$Q$6:$Q$66,'План продаж'!$B$6:$B$66,"&lt;="&amp;Расчёт.Окупаемости!B55)</f>
        <v>88638441.666666657</v>
      </c>
      <c r="L55" s="67">
        <f>'Заёмные средства'!Q54</f>
        <v>0</v>
      </c>
      <c r="M55" s="67">
        <f t="shared" si="5"/>
        <v>26247658.065075748</v>
      </c>
      <c r="N55" s="67">
        <f t="shared" si="7"/>
        <v>34</v>
      </c>
      <c r="O55" s="58">
        <f>'Заёмные средства'!M54</f>
        <v>0</v>
      </c>
    </row>
    <row r="56" spans="2:15" x14ac:dyDescent="0.25">
      <c r="B56" s="67">
        <f t="shared" si="9"/>
        <v>49</v>
      </c>
      <c r="C56" s="67">
        <f t="shared" si="8"/>
        <v>3</v>
      </c>
      <c r="D56" s="67">
        <f t="shared" si="1"/>
        <v>2022</v>
      </c>
      <c r="E56" s="122">
        <f t="shared" si="10"/>
        <v>44651</v>
      </c>
      <c r="F56" s="67">
        <f t="shared" si="6"/>
        <v>-5175691</v>
      </c>
      <c r="G56" s="67">
        <f t="shared" si="4"/>
        <v>32429564.959242418</v>
      </c>
      <c r="H56" s="67">
        <f>-SUMIFS('Расчёт.Постоянные расходы'!$I$6:$I$130,'Расчёт.Постоянные расходы'!$B$6:$B$130,"&lt;="&amp;Расчёт.Окупаемости!B56)</f>
        <v>-27440000</v>
      </c>
      <c r="I56" s="67">
        <f>-SUMIFS(Персонал!$V:$V,Персонал!$O:$O,"&lt;="&amp;Расчёт.Окупаемости!B56)</f>
        <v>-28684500</v>
      </c>
      <c r="J56" s="67">
        <f>Расчёт.ПрибылиВсё!N56+J55</f>
        <v>-2335643.3740909076</v>
      </c>
      <c r="K56" s="67">
        <f>SUMIFS('План продаж'!$Q$6:$Q$66,'План продаж'!$B$6:$B$66,"&lt;="&amp;Расчёт.Окупаемости!B56)</f>
        <v>90889708.333333328</v>
      </c>
      <c r="L56" s="67">
        <f>'Заёмные средства'!Q55</f>
        <v>0</v>
      </c>
      <c r="M56" s="67">
        <f t="shared" si="5"/>
        <v>27253873.959242418</v>
      </c>
      <c r="N56" s="67">
        <f t="shared" si="7"/>
        <v>35</v>
      </c>
      <c r="O56" s="58">
        <f>'Заёмные средства'!M55</f>
        <v>0</v>
      </c>
    </row>
    <row r="57" spans="2:15" x14ac:dyDescent="0.25">
      <c r="B57" s="67">
        <f t="shared" si="9"/>
        <v>50</v>
      </c>
      <c r="C57" s="67">
        <f t="shared" si="8"/>
        <v>4</v>
      </c>
      <c r="D57" s="67">
        <f t="shared" si="1"/>
        <v>2022</v>
      </c>
      <c r="E57" s="122">
        <f t="shared" si="10"/>
        <v>44681</v>
      </c>
      <c r="F57" s="67">
        <f t="shared" si="6"/>
        <v>-5175691</v>
      </c>
      <c r="G57" s="67">
        <f t="shared" si="4"/>
        <v>33435780.853409089</v>
      </c>
      <c r="H57" s="67">
        <f>-SUMIFS('Расчёт.Постоянные расходы'!$I$6:$I$130,'Расчёт.Постоянные расходы'!$B$6:$B$130,"&lt;="&amp;Расчёт.Окупаемости!B57)</f>
        <v>-28000000</v>
      </c>
      <c r="I57" s="67">
        <f>-SUMIFS(Персонал!$V:$V,Персонал!$O:$O,"&lt;="&amp;Расчёт.Окупаемости!B57)</f>
        <v>-29289000</v>
      </c>
      <c r="J57" s="67">
        <f>Расчёт.ПрибылиВсё!N57+J56</f>
        <v>-2416194.1465909076</v>
      </c>
      <c r="K57" s="67">
        <f>SUMIFS('План продаж'!$Q$6:$Q$66,'План продаж'!$B$6:$B$66,"&lt;="&amp;Расчёт.Окупаемости!B57)</f>
        <v>93140975</v>
      </c>
      <c r="L57" s="67">
        <f>'Заёмные средства'!Q56</f>
        <v>0</v>
      </c>
      <c r="M57" s="67">
        <f t="shared" si="5"/>
        <v>28260089.853409089</v>
      </c>
      <c r="N57" s="67">
        <f t="shared" si="7"/>
        <v>36</v>
      </c>
      <c r="O57" s="58">
        <f>'Заёмные средства'!M56</f>
        <v>0</v>
      </c>
    </row>
    <row r="58" spans="2:15" x14ac:dyDescent="0.25">
      <c r="B58" s="67">
        <f t="shared" si="9"/>
        <v>51</v>
      </c>
      <c r="C58" s="67">
        <f t="shared" si="8"/>
        <v>5</v>
      </c>
      <c r="D58" s="67">
        <f t="shared" si="1"/>
        <v>2022</v>
      </c>
      <c r="E58" s="122">
        <f t="shared" si="10"/>
        <v>44712</v>
      </c>
      <c r="F58" s="67">
        <f t="shared" si="6"/>
        <v>-5175691</v>
      </c>
      <c r="G58" s="67">
        <f t="shared" si="4"/>
        <v>33931680.853409089</v>
      </c>
      <c r="H58" s="67">
        <f>-SUMIFS('Расчёт.Постоянные расходы'!$I$6:$I$130,'Расчёт.Постоянные расходы'!$B$6:$B$130,"&lt;="&amp;Расчёт.Окупаемости!B58)</f>
        <v>-28560000</v>
      </c>
      <c r="I58" s="67">
        <f>-SUMIFS(Персонал!$V:$V,Персонал!$O:$O,"&lt;="&amp;Расчёт.Окупаемости!B58)</f>
        <v>-29893500</v>
      </c>
      <c r="J58" s="67">
        <f>Расчёт.ПрибылиВсё!N58+J57</f>
        <v>-2444244.1465909076</v>
      </c>
      <c r="K58" s="67">
        <f>SUMIFS('План продаж'!$Q$6:$Q$66,'План продаж'!$B$6:$B$66,"&lt;="&amp;Расчёт.Окупаемости!B58)</f>
        <v>94829425</v>
      </c>
      <c r="L58" s="67">
        <f>'Заёмные средства'!Q57</f>
        <v>0</v>
      </c>
      <c r="M58" s="67">
        <f t="shared" si="5"/>
        <v>28755989.853409089</v>
      </c>
      <c r="N58" s="67">
        <f t="shared" si="7"/>
        <v>37</v>
      </c>
      <c r="O58" s="58">
        <f>'Заёмные средства'!M57</f>
        <v>0</v>
      </c>
    </row>
    <row r="59" spans="2:15" x14ac:dyDescent="0.25">
      <c r="B59" s="67">
        <f t="shared" si="9"/>
        <v>52</v>
      </c>
      <c r="C59" s="67">
        <f t="shared" si="8"/>
        <v>6</v>
      </c>
      <c r="D59" s="67">
        <f t="shared" si="1"/>
        <v>2022</v>
      </c>
      <c r="E59" s="122">
        <f t="shared" si="10"/>
        <v>44742</v>
      </c>
      <c r="F59" s="67">
        <f t="shared" si="6"/>
        <v>-5175691</v>
      </c>
      <c r="G59" s="67">
        <f t="shared" si="4"/>
        <v>34427580.853409089</v>
      </c>
      <c r="H59" s="67">
        <f>-SUMIFS('Расчёт.Постоянные расходы'!$I$6:$I$130,'Расчёт.Постоянные расходы'!$B$6:$B$130,"&lt;="&amp;Расчёт.Окупаемости!B59)</f>
        <v>-29120000</v>
      </c>
      <c r="I59" s="67">
        <f>-SUMIFS(Персонал!$V:$V,Персонал!$O:$O,"&lt;="&amp;Расчёт.Окупаемости!B59)</f>
        <v>-30498000</v>
      </c>
      <c r="J59" s="67">
        <f>Расчёт.ПрибылиВсё!N59+J58</f>
        <v>-2472294.1465909076</v>
      </c>
      <c r="K59" s="67">
        <f>SUMIFS('План продаж'!$Q$6:$Q$66,'План продаж'!$B$6:$B$66,"&lt;="&amp;Расчёт.Окупаемости!B59)</f>
        <v>96517875</v>
      </c>
      <c r="L59" s="67">
        <f>'Заёмные средства'!Q58</f>
        <v>0</v>
      </c>
      <c r="M59" s="67">
        <f t="shared" si="5"/>
        <v>29251889.853409089</v>
      </c>
      <c r="N59" s="67">
        <f t="shared" si="7"/>
        <v>38</v>
      </c>
      <c r="O59" s="58">
        <f>'Заёмные средства'!M58</f>
        <v>0</v>
      </c>
    </row>
    <row r="60" spans="2:15" x14ac:dyDescent="0.25">
      <c r="B60" s="67">
        <f t="shared" si="9"/>
        <v>53</v>
      </c>
      <c r="C60" s="67">
        <f t="shared" si="8"/>
        <v>7</v>
      </c>
      <c r="D60" s="67">
        <f t="shared" si="1"/>
        <v>2022</v>
      </c>
      <c r="E60" s="122">
        <f t="shared" si="10"/>
        <v>44773</v>
      </c>
      <c r="F60" s="67">
        <f t="shared" si="6"/>
        <v>-5175691</v>
      </c>
      <c r="G60" s="67">
        <f t="shared" si="4"/>
        <v>34923480.853409089</v>
      </c>
      <c r="H60" s="67">
        <f>-SUMIFS('Расчёт.Постоянные расходы'!$I$6:$I$130,'Расчёт.Постоянные расходы'!$B$6:$B$130,"&lt;="&amp;Расчёт.Окупаемости!B60)</f>
        <v>-29680000</v>
      </c>
      <c r="I60" s="67">
        <f>-SUMIFS(Персонал!$V:$V,Персонал!$O:$O,"&lt;="&amp;Расчёт.Окупаемости!B60)</f>
        <v>-31102500</v>
      </c>
      <c r="J60" s="67">
        <f>Расчёт.ПрибылиВсё!N60+J59</f>
        <v>-2500344.1465909076</v>
      </c>
      <c r="K60" s="67">
        <f>SUMIFS('План продаж'!$Q$6:$Q$66,'План продаж'!$B$6:$B$66,"&lt;="&amp;Расчёт.Окупаемости!B60)</f>
        <v>98206325</v>
      </c>
      <c r="L60" s="67">
        <f>'Заёмные средства'!Q59</f>
        <v>0</v>
      </c>
      <c r="M60" s="67">
        <f t="shared" si="5"/>
        <v>29747789.853409089</v>
      </c>
      <c r="N60" s="67">
        <f t="shared" si="7"/>
        <v>39</v>
      </c>
      <c r="O60" s="58">
        <f>'Заёмные средства'!M59</f>
        <v>0</v>
      </c>
    </row>
    <row r="61" spans="2:15" x14ac:dyDescent="0.25">
      <c r="B61" s="67">
        <f t="shared" si="9"/>
        <v>54</v>
      </c>
      <c r="C61" s="67">
        <f t="shared" si="8"/>
        <v>8</v>
      </c>
      <c r="D61" s="67">
        <f t="shared" si="1"/>
        <v>2022</v>
      </c>
      <c r="E61" s="122">
        <f t="shared" si="10"/>
        <v>44804</v>
      </c>
      <c r="F61" s="67">
        <f t="shared" si="6"/>
        <v>-5175691</v>
      </c>
      <c r="G61" s="67">
        <f t="shared" si="4"/>
        <v>35419380.853409089</v>
      </c>
      <c r="H61" s="67">
        <f>-SUMIFS('Расчёт.Постоянные расходы'!$I$6:$I$130,'Расчёт.Постоянные расходы'!$B$6:$B$130,"&lt;="&amp;Расчёт.Окупаемости!B61)</f>
        <v>-30240000</v>
      </c>
      <c r="I61" s="67">
        <f>-SUMIFS(Персонал!$V:$V,Персонал!$O:$O,"&lt;="&amp;Расчёт.Окупаемости!B61)</f>
        <v>-31707000</v>
      </c>
      <c r="J61" s="67">
        <f>Расчёт.ПрибылиВсё!N61+J60</f>
        <v>-2528394.1465909076</v>
      </c>
      <c r="K61" s="67">
        <f>SUMIFS('План продаж'!$Q$6:$Q$66,'План продаж'!$B$6:$B$66,"&lt;="&amp;Расчёт.Окупаемости!B61)</f>
        <v>99894775</v>
      </c>
      <c r="L61" s="67">
        <f>'Заёмные средства'!Q60</f>
        <v>0</v>
      </c>
      <c r="M61" s="67">
        <f t="shared" si="5"/>
        <v>30243689.853409089</v>
      </c>
      <c r="N61" s="67">
        <f t="shared" si="7"/>
        <v>40</v>
      </c>
      <c r="O61" s="58">
        <f>'Заёмные средства'!M60</f>
        <v>0</v>
      </c>
    </row>
    <row r="62" spans="2:15" x14ac:dyDescent="0.25">
      <c r="B62" s="67">
        <f t="shared" si="9"/>
        <v>55</v>
      </c>
      <c r="C62" s="67">
        <f t="shared" si="8"/>
        <v>9</v>
      </c>
      <c r="D62" s="67">
        <f t="shared" si="1"/>
        <v>2022</v>
      </c>
      <c r="E62" s="122">
        <f t="shared" si="10"/>
        <v>44834</v>
      </c>
      <c r="F62" s="67">
        <f t="shared" si="6"/>
        <v>-5175691</v>
      </c>
      <c r="G62" s="67">
        <f t="shared" si="4"/>
        <v>35915280.853409089</v>
      </c>
      <c r="H62" s="67">
        <f>-SUMIFS('Расчёт.Постоянные расходы'!$I$6:$I$130,'Расчёт.Постоянные расходы'!$B$6:$B$130,"&lt;="&amp;Расчёт.Окупаемости!B62)</f>
        <v>-30800000</v>
      </c>
      <c r="I62" s="67">
        <f>-SUMIFS(Персонал!$V:$V,Персонал!$O:$O,"&lt;="&amp;Расчёт.Окупаемости!B62)</f>
        <v>-32311500</v>
      </c>
      <c r="J62" s="67">
        <f>Расчёт.ПрибылиВсё!N62+J61</f>
        <v>-2556444.1465909076</v>
      </c>
      <c r="K62" s="67">
        <f>SUMIFS('План продаж'!$Q$6:$Q$66,'План продаж'!$B$6:$B$66,"&lt;="&amp;Расчёт.Окупаемости!B62)</f>
        <v>101583225</v>
      </c>
      <c r="L62" s="67">
        <f>'Заёмные средства'!Q61</f>
        <v>0</v>
      </c>
      <c r="M62" s="67">
        <f t="shared" si="5"/>
        <v>30739589.853409089</v>
      </c>
      <c r="N62" s="67">
        <f t="shared" si="7"/>
        <v>41</v>
      </c>
      <c r="O62" s="58">
        <f>'Заёмные средства'!M61</f>
        <v>0</v>
      </c>
    </row>
    <row r="63" spans="2:15" x14ac:dyDescent="0.25">
      <c r="B63" s="67">
        <f t="shared" si="9"/>
        <v>56</v>
      </c>
      <c r="C63" s="67">
        <f t="shared" si="8"/>
        <v>10</v>
      </c>
      <c r="D63" s="67">
        <f t="shared" si="1"/>
        <v>2022</v>
      </c>
      <c r="E63" s="122">
        <f t="shared" si="10"/>
        <v>44865</v>
      </c>
      <c r="F63" s="67">
        <f t="shared" si="6"/>
        <v>-5175691</v>
      </c>
      <c r="G63" s="67">
        <f t="shared" si="4"/>
        <v>36921496.747575767</v>
      </c>
      <c r="H63" s="67">
        <f>-SUMIFS('Расчёт.Постоянные расходы'!$I$6:$I$130,'Расчёт.Постоянные расходы'!$B$6:$B$130,"&lt;="&amp;Расчёт.Окупаемости!B63)</f>
        <v>-31360000</v>
      </c>
      <c r="I63" s="67">
        <f>-SUMIFS(Персонал!$V:$V,Персонал!$O:$O,"&lt;="&amp;Расчёт.Окупаемости!B63)</f>
        <v>-32916000</v>
      </c>
      <c r="J63" s="67">
        <f>Расчёт.ПрибылиВсё!N63+J62</f>
        <v>-2636994.9190909076</v>
      </c>
      <c r="K63" s="67">
        <f>SUMIFS('План продаж'!$Q$6:$Q$66,'План продаж'!$B$6:$B$66,"&lt;="&amp;Расчёт.Окупаемости!B63)</f>
        <v>103834491.66666667</v>
      </c>
      <c r="L63" s="67">
        <f>'Заёмные средства'!Q62</f>
        <v>0</v>
      </c>
      <c r="M63" s="67">
        <f t="shared" si="5"/>
        <v>31745805.747575767</v>
      </c>
      <c r="N63" s="67">
        <f t="shared" si="7"/>
        <v>42</v>
      </c>
      <c r="O63" s="58">
        <f>'Заёмные средства'!M62</f>
        <v>0</v>
      </c>
    </row>
    <row r="64" spans="2:15" x14ac:dyDescent="0.25">
      <c r="B64" s="67">
        <f t="shared" si="9"/>
        <v>57</v>
      </c>
      <c r="C64" s="67">
        <f t="shared" si="8"/>
        <v>11</v>
      </c>
      <c r="D64" s="67">
        <f t="shared" si="1"/>
        <v>2022</v>
      </c>
      <c r="E64" s="122">
        <f t="shared" si="10"/>
        <v>44895</v>
      </c>
      <c r="F64" s="67">
        <f t="shared" si="6"/>
        <v>-5175691</v>
      </c>
      <c r="G64" s="67">
        <f t="shared" si="4"/>
        <v>37927712.641742438</v>
      </c>
      <c r="H64" s="67">
        <f>-SUMIFS('Расчёт.Постоянные расходы'!$I$6:$I$130,'Расчёт.Постоянные расходы'!$B$6:$B$130,"&lt;="&amp;Расчёт.Окупаемости!B64)</f>
        <v>-31920000</v>
      </c>
      <c r="I64" s="67">
        <f>-SUMIFS(Персонал!$V:$V,Персонал!$O:$O,"&lt;="&amp;Расчёт.Окупаемости!B64)</f>
        <v>-33520500</v>
      </c>
      <c r="J64" s="67">
        <f>Расчёт.ПрибылиВсё!N64+J63</f>
        <v>-2717545.6915909075</v>
      </c>
      <c r="K64" s="67">
        <f>SUMIFS('План продаж'!$Q$6:$Q$66,'План продаж'!$B$6:$B$66,"&lt;="&amp;Расчёт.Окупаемости!B64)</f>
        <v>106085758.33333334</v>
      </c>
      <c r="L64" s="67">
        <f>'Заёмные средства'!Q63</f>
        <v>0</v>
      </c>
      <c r="M64" s="67">
        <f t="shared" si="5"/>
        <v>32752021.641742438</v>
      </c>
      <c r="N64" s="67">
        <f t="shared" si="7"/>
        <v>43</v>
      </c>
      <c r="O64" s="58">
        <f>'Заёмные средства'!M63</f>
        <v>0</v>
      </c>
    </row>
    <row r="65" spans="2:15" x14ac:dyDescent="0.25">
      <c r="B65" s="67">
        <f t="shared" si="9"/>
        <v>58</v>
      </c>
      <c r="C65" s="67">
        <f t="shared" si="8"/>
        <v>12</v>
      </c>
      <c r="D65" s="67">
        <f t="shared" si="1"/>
        <v>2022</v>
      </c>
      <c r="E65" s="122">
        <f t="shared" si="10"/>
        <v>44926</v>
      </c>
      <c r="F65" s="67">
        <f t="shared" si="6"/>
        <v>-5175691</v>
      </c>
      <c r="G65" s="67">
        <f t="shared" si="4"/>
        <v>38933928.535909101</v>
      </c>
      <c r="H65" s="67">
        <f>-SUMIFS('Расчёт.Постоянные расходы'!$I$6:$I$130,'Расчёт.Постоянные расходы'!$B$6:$B$130,"&lt;="&amp;Расчёт.Окупаемости!B65)</f>
        <v>-32480000</v>
      </c>
      <c r="I65" s="67">
        <f>-SUMIFS(Персонал!$V:$V,Персонал!$O:$O,"&lt;="&amp;Расчёт.Окупаемости!B65)</f>
        <v>-34125000</v>
      </c>
      <c r="J65" s="67">
        <f>Расчёт.ПрибылиВсё!N65+J64</f>
        <v>-2798096.4640909075</v>
      </c>
      <c r="K65" s="67">
        <f>SUMIFS('План продаж'!$Q$6:$Q$66,'План продаж'!$B$6:$B$66,"&lt;="&amp;Расчёт.Окупаемости!B65)</f>
        <v>108337025.00000001</v>
      </c>
      <c r="L65" s="67">
        <f>'Заёмные средства'!Q64</f>
        <v>0</v>
      </c>
      <c r="M65" s="67">
        <f t="shared" si="5"/>
        <v>33758237.535909101</v>
      </c>
      <c r="N65" s="67">
        <f t="shared" si="7"/>
        <v>44</v>
      </c>
      <c r="O65" s="58">
        <f>'Заёмные средства'!M64</f>
        <v>0</v>
      </c>
    </row>
    <row r="66" spans="2:15" x14ac:dyDescent="0.25">
      <c r="B66" s="67">
        <f t="shared" si="9"/>
        <v>59</v>
      </c>
      <c r="C66" s="67">
        <f t="shared" si="8"/>
        <v>1</v>
      </c>
      <c r="D66" s="67">
        <f t="shared" si="1"/>
        <v>2023</v>
      </c>
      <c r="E66" s="122">
        <f t="shared" si="10"/>
        <v>44957</v>
      </c>
      <c r="F66" s="67">
        <f t="shared" si="6"/>
        <v>-5175691</v>
      </c>
      <c r="G66" s="67">
        <f t="shared" si="4"/>
        <v>39940144.43007578</v>
      </c>
      <c r="H66" s="67">
        <f>-SUMIFS('Расчёт.Постоянные расходы'!$I$6:$I$130,'Расчёт.Постоянные расходы'!$B$6:$B$130,"&lt;="&amp;Расчёт.Окупаемости!B66)</f>
        <v>-33040000</v>
      </c>
      <c r="I66" s="67">
        <f>-SUMIFS(Персонал!$V:$V,Персонал!$O:$O,"&lt;="&amp;Расчёт.Окупаемости!B66)</f>
        <v>-34729500</v>
      </c>
      <c r="J66" s="67">
        <f>Расчёт.ПрибылиВсё!N66+J65</f>
        <v>-2878647.2365909074</v>
      </c>
      <c r="K66" s="67">
        <f>SUMIFS('План продаж'!$Q$6:$Q$66,'План продаж'!$B$6:$B$66,"&lt;="&amp;Расчёт.Окупаемости!B66)</f>
        <v>110588291.66666669</v>
      </c>
      <c r="L66" s="67">
        <f>'Заёмные средства'!Q65</f>
        <v>0</v>
      </c>
      <c r="M66" s="67">
        <f t="shared" si="5"/>
        <v>34764453.43007578</v>
      </c>
      <c r="N66" s="67">
        <f t="shared" si="7"/>
        <v>45</v>
      </c>
      <c r="O66" s="58">
        <f>'Заёмные средства'!M65</f>
        <v>0</v>
      </c>
    </row>
    <row r="67" spans="2:15" x14ac:dyDescent="0.25">
      <c r="B67" s="67">
        <f t="shared" si="9"/>
        <v>60</v>
      </c>
      <c r="C67" s="67">
        <f t="shared" si="8"/>
        <v>2</v>
      </c>
      <c r="D67" s="67">
        <f t="shared" si="1"/>
        <v>2023</v>
      </c>
      <c r="E67" s="122">
        <f t="shared" si="10"/>
        <v>44985</v>
      </c>
      <c r="F67" s="67">
        <f t="shared" si="6"/>
        <v>-5175691</v>
      </c>
      <c r="G67" s="67">
        <f t="shared" si="4"/>
        <v>40946360.324242458</v>
      </c>
      <c r="H67" s="67">
        <f>-SUMIFS('Расчёт.Постоянные расходы'!$I$6:$I$130,'Расчёт.Постоянные расходы'!$B$6:$B$130,"&lt;="&amp;Расчёт.Окупаемости!B67)</f>
        <v>-33600000</v>
      </c>
      <c r="I67" s="67">
        <f>-SUMIFS(Персонал!$V:$V,Персонал!$O:$O,"&lt;="&amp;Расчёт.Окупаемости!B67)</f>
        <v>-35334000</v>
      </c>
      <c r="J67" s="67">
        <f>Расчёт.ПрибылиВсё!N67+J66</f>
        <v>-2959198.0090909074</v>
      </c>
      <c r="K67" s="67">
        <f>SUMIFS('План продаж'!$Q$6:$Q$66,'План продаж'!$B$6:$B$66,"&lt;="&amp;Расчёт.Окупаемости!B67)</f>
        <v>112839558.33333336</v>
      </c>
      <c r="L67" s="67">
        <f>'Заёмные средства'!Q66</f>
        <v>0</v>
      </c>
      <c r="M67" s="67">
        <f t="shared" si="5"/>
        <v>35770669.324242458</v>
      </c>
      <c r="N67" s="67">
        <f t="shared" si="7"/>
        <v>46</v>
      </c>
      <c r="O67" s="58">
        <f>'Заёмные средства'!M66</f>
        <v>0</v>
      </c>
    </row>
  </sheetData>
  <mergeCells count="2">
    <mergeCell ref="Q7:Q17"/>
    <mergeCell ref="B4:D4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9DF7-F573-400C-93B0-A2CD7B34BBF7}">
  <sheetPr>
    <tabColor theme="5" tint="0.59999389629810485"/>
  </sheetPr>
  <dimension ref="B1:AB67"/>
  <sheetViews>
    <sheetView topLeftCell="A3" workbookViewId="0">
      <selection activeCell="L9" sqref="L9"/>
    </sheetView>
  </sheetViews>
  <sheetFormatPr defaultRowHeight="15" x14ac:dyDescent="0.25"/>
  <cols>
    <col min="1" max="1" width="9.140625" style="1"/>
    <col min="2" max="2" width="10.85546875" style="1" customWidth="1"/>
    <col min="3" max="4" width="9.28515625" style="1" bestFit="1" customWidth="1"/>
    <col min="5" max="5" width="10.28515625" style="110" bestFit="1" customWidth="1"/>
    <col min="6" max="6" width="15.5703125" style="1" bestFit="1" customWidth="1"/>
    <col min="7" max="7" width="16.5703125" style="1" bestFit="1" customWidth="1"/>
    <col min="8" max="8" width="17.42578125" style="1" customWidth="1"/>
    <col min="9" max="10" width="14.42578125" style="1" customWidth="1"/>
    <col min="11" max="11" width="15.85546875" style="1" customWidth="1"/>
    <col min="12" max="12" width="15" style="1" customWidth="1"/>
    <col min="13" max="13" width="14.85546875" style="1" customWidth="1"/>
    <col min="14" max="14" width="19" style="1" customWidth="1"/>
    <col min="15" max="16" width="14" style="1" customWidth="1"/>
    <col min="17" max="17" width="103.5703125" style="1" customWidth="1"/>
    <col min="18" max="16384" width="9.140625" style="1"/>
  </cols>
  <sheetData>
    <row r="1" spans="2:28" ht="21" x14ac:dyDescent="0.35">
      <c r="B1" s="43" t="s">
        <v>204</v>
      </c>
    </row>
    <row r="2" spans="2:28" ht="12" customHeight="1" x14ac:dyDescent="0.35">
      <c r="B2" s="95"/>
      <c r="C2" s="95"/>
      <c r="D2" s="95"/>
      <c r="E2" s="121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4" spans="2:28" x14ac:dyDescent="0.25">
      <c r="B4" s="273" t="s">
        <v>413</v>
      </c>
      <c r="C4" s="273"/>
      <c r="D4" s="273"/>
      <c r="E4" s="241">
        <f>IFERROR(INDEX(B7:B67,MATCH(1,$M$7:$M$67,0),1),0)</f>
        <v>15</v>
      </c>
    </row>
    <row r="5" spans="2:28" ht="15.75" thickBot="1" x14ac:dyDescent="0.3"/>
    <row r="6" spans="2:28" ht="29.25" customHeight="1" thickTop="1" thickBot="1" x14ac:dyDescent="0.3">
      <c r="B6" s="222" t="s">
        <v>45</v>
      </c>
      <c r="C6" s="222" t="s">
        <v>7</v>
      </c>
      <c r="D6" s="222" t="s">
        <v>46</v>
      </c>
      <c r="E6" s="144" t="s">
        <v>47</v>
      </c>
      <c r="F6" s="222" t="s">
        <v>177</v>
      </c>
      <c r="G6" s="222" t="s">
        <v>181</v>
      </c>
      <c r="H6" s="222" t="s">
        <v>179</v>
      </c>
      <c r="I6" s="222" t="s">
        <v>180</v>
      </c>
      <c r="J6" s="222" t="s">
        <v>396</v>
      </c>
      <c r="K6" s="222" t="s">
        <v>60</v>
      </c>
      <c r="L6" s="222" t="s">
        <v>182</v>
      </c>
      <c r="M6" s="222" t="s">
        <v>412</v>
      </c>
      <c r="O6" s="222" t="s">
        <v>409</v>
      </c>
    </row>
    <row r="7" spans="2:28" ht="18.75" customHeight="1" thickTop="1" thickBot="1" x14ac:dyDescent="0.3">
      <c r="B7" s="67">
        <f>Расчёт.Окупаемости!B7</f>
        <v>0</v>
      </c>
      <c r="C7" s="67">
        <f>Расчёт.Окупаемости!C7</f>
        <v>2</v>
      </c>
      <c r="D7" s="67">
        <f>Расчёт.Окупаемости!D7</f>
        <v>2018</v>
      </c>
      <c r="E7" s="122">
        <f>Расчёт.Окупаемости!E7</f>
        <v>43159</v>
      </c>
      <c r="F7" s="67">
        <f>Расчёт.Окупаемости!F7*(1+'Анализ чувствительности'!$C$8)-Расчёт.Окупаемости!F7</f>
        <v>-258784.54999999981</v>
      </c>
      <c r="G7" s="67">
        <f>SUM(H7:K7)</f>
        <v>0</v>
      </c>
      <c r="H7" s="67">
        <f>Расчёт.Окупаемости!H7*(1+чувОпр)-Расчёт.Окупаемости!H7</f>
        <v>0</v>
      </c>
      <c r="I7" s="67">
        <f>Расчёт.Окупаемости!I7*(1+чувОпр)-Расчёт.Окупаемости!I7</f>
        <v>0</v>
      </c>
      <c r="J7" s="67">
        <f>Расчёт.Окупаемости!$J7*(1+чувОпр)-Расчёт.Окупаемости!$J7</f>
        <v>0</v>
      </c>
      <c r="K7" s="67">
        <f>Расчёт.Окупаемости!K7*(1+чувВП)-Расчёт.Окупаемости!K7</f>
        <v>0</v>
      </c>
      <c r="L7" s="67">
        <f>SUM(F7:G7)+Расчёт.Окупаемости!M7</f>
        <v>-5434475.5499999998</v>
      </c>
      <c r="M7" s="67">
        <f>IF(L7&gt;0,1,0)</f>
        <v>0</v>
      </c>
      <c r="O7" s="58">
        <f>SUM(H7:J7)</f>
        <v>0</v>
      </c>
      <c r="Q7" s="270" t="s">
        <v>205</v>
      </c>
    </row>
    <row r="8" spans="2:28" ht="16.5" thickTop="1" thickBot="1" x14ac:dyDescent="0.3">
      <c r="B8" s="67">
        <f>Расчёт.Окупаемости!B8</f>
        <v>1</v>
      </c>
      <c r="C8" s="67">
        <f>Расчёт.Окупаемости!C8</f>
        <v>3</v>
      </c>
      <c r="D8" s="67">
        <f>Расчёт.Окупаемости!D8</f>
        <v>2018</v>
      </c>
      <c r="E8" s="122">
        <f>Расчёт.Окупаемости!E8</f>
        <v>43190</v>
      </c>
      <c r="F8" s="67">
        <f>Расчёт.Окупаемости!F8*(1+'Анализ чувствительности'!$C$8)-Расчёт.Окупаемости!F8</f>
        <v>-258784.54999999981</v>
      </c>
      <c r="G8" s="67">
        <f t="shared" ref="G8:G67" si="0">SUM(H8:K8)</f>
        <v>12837</v>
      </c>
      <c r="H8" s="67">
        <f>Расчёт.Окупаемости!H8*(1+чувОпр)-Расчёт.Окупаемости!H8</f>
        <v>-16800</v>
      </c>
      <c r="I8" s="67">
        <f>Расчёт.Окупаемости!I8*(1+чувОпр)-Расчёт.Окупаемости!I8</f>
        <v>-13455</v>
      </c>
      <c r="J8" s="67">
        <f>Расчёт.Окупаемости!$J8*(1+чувОпр)-Расчёт.Окупаемости!$J8</f>
        <v>-378</v>
      </c>
      <c r="K8" s="67">
        <f>Расчёт.Окупаемости!K8*(1+чувВП)-Расчёт.Окупаемости!K8</f>
        <v>43470</v>
      </c>
      <c r="L8" s="67">
        <f>SUM(F8:G8)+Расчёт.Окупаемости!M8</f>
        <v>-5573338.5499999998</v>
      </c>
      <c r="M8" s="67">
        <f>IF(L8&gt;0,M7+1,0)</f>
        <v>0</v>
      </c>
      <c r="O8" s="58">
        <f t="shared" ref="O8:O67" si="1">SUM(H8:J8)</f>
        <v>-30633</v>
      </c>
      <c r="Q8" s="270"/>
    </row>
    <row r="9" spans="2:28" ht="16.5" thickTop="1" thickBot="1" x14ac:dyDescent="0.3">
      <c r="B9" s="67">
        <f>Расчёт.Окупаемости!B9</f>
        <v>2</v>
      </c>
      <c r="C9" s="67">
        <f>Расчёт.Окупаемости!C9</f>
        <v>4</v>
      </c>
      <c r="D9" s="67">
        <f>Расчёт.Окупаемости!D9</f>
        <v>2018</v>
      </c>
      <c r="E9" s="122">
        <f>Расчёт.Окупаемости!E9</f>
        <v>43220</v>
      </c>
      <c r="F9" s="67">
        <f>Расчёт.Окупаемости!F9*(1+'Анализ чувствительности'!$C$8)-Расчёт.Окупаемости!F9</f>
        <v>-258784.54999999981</v>
      </c>
      <c r="G9" s="67">
        <f t="shared" si="0"/>
        <v>38634.333333333489</v>
      </c>
      <c r="H9" s="67">
        <f>Расчёт.Окупаемости!H9*(1+чувОпр)-Расчёт.Окупаемости!H9</f>
        <v>-33600</v>
      </c>
      <c r="I9" s="67">
        <f>Расчёт.Окупаемости!I9*(1+чувОпр)-Расчёт.Окупаемости!I9</f>
        <v>-26910</v>
      </c>
      <c r="J9" s="67">
        <f>Расчёт.Окупаемости!$J9*(1+чувОпр)-Расчёт.Окупаемости!$J9</f>
        <v>-879</v>
      </c>
      <c r="K9" s="67">
        <f>Расчёт.Окупаемости!K9*(1+чувВП)-Расчёт.Окупаемости!K9</f>
        <v>100023.33333333349</v>
      </c>
      <c r="L9" s="67">
        <f>SUM(F9:G9)+Расчёт.Окупаемости!M9</f>
        <v>-5510424.5500000007</v>
      </c>
      <c r="M9" s="67">
        <f t="shared" ref="M9:M67" si="2">IF(L9&gt;0,M8+1,0)</f>
        <v>0</v>
      </c>
      <c r="O9" s="58">
        <f t="shared" si="1"/>
        <v>-61389</v>
      </c>
      <c r="Q9" s="270"/>
    </row>
    <row r="10" spans="2:28" ht="16.5" thickTop="1" thickBot="1" x14ac:dyDescent="0.3">
      <c r="B10" s="67">
        <f>Расчёт.Окупаемости!B10</f>
        <v>3</v>
      </c>
      <c r="C10" s="67">
        <f>Расчёт.Окупаемости!C10</f>
        <v>5</v>
      </c>
      <c r="D10" s="67">
        <f>Расчёт.Окупаемости!D10</f>
        <v>2018</v>
      </c>
      <c r="E10" s="122">
        <f>Расчёт.Окупаемости!E10</f>
        <v>43251</v>
      </c>
      <c r="F10" s="67">
        <f>Расчёт.Окупаемости!F10*(1+'Анализ чувствительности'!$C$8)-Расчёт.Окупаемости!F10</f>
        <v>-258784.54999999981</v>
      </c>
      <c r="G10" s="67">
        <f t="shared" si="0"/>
        <v>50418.583333333489</v>
      </c>
      <c r="H10" s="67">
        <f>Расчёт.Окупаемости!H10*(1+чувОпр)-Расчёт.Окупаемости!H10</f>
        <v>-50400</v>
      </c>
      <c r="I10" s="67">
        <f>Расчёт.Окупаемости!I10*(1+чувОпр)-Расчёт.Окупаемости!I10</f>
        <v>-40365</v>
      </c>
      <c r="J10" s="67">
        <f>Расчёт.Окупаемости!$J10*(1+чувОпр)-Расчёт.Окупаемости!$J10</f>
        <v>-1254.75</v>
      </c>
      <c r="K10" s="67">
        <f>Расчёт.Окупаемости!K10*(1+чувВП)-Расчёт.Окупаемости!K10</f>
        <v>142438.33333333349</v>
      </c>
      <c r="L10" s="67">
        <f>SUM(F10:G10)+Расчёт.Окупаемости!M10</f>
        <v>-5669455.5777777787</v>
      </c>
      <c r="M10" s="67">
        <f t="shared" si="2"/>
        <v>0</v>
      </c>
      <c r="O10" s="58">
        <f t="shared" si="1"/>
        <v>-92019.75</v>
      </c>
      <c r="Q10" s="270"/>
    </row>
    <row r="11" spans="2:28" ht="16.5" thickTop="1" thickBot="1" x14ac:dyDescent="0.3">
      <c r="B11" s="67">
        <f>Расчёт.Окупаемости!B11</f>
        <v>4</v>
      </c>
      <c r="C11" s="67">
        <f>Расчёт.Окупаемости!C11</f>
        <v>6</v>
      </c>
      <c r="D11" s="67">
        <f>Расчёт.Окупаемости!D11</f>
        <v>2018</v>
      </c>
      <c r="E11" s="122">
        <f>Расчёт.Окупаемости!E11</f>
        <v>43281</v>
      </c>
      <c r="F11" s="67">
        <f>Расчёт.Окупаемости!F11*(1+'Анализ чувствительности'!$C$8)-Расчёт.Окупаемости!F11</f>
        <v>-258784.54999999981</v>
      </c>
      <c r="G11" s="67">
        <f t="shared" si="0"/>
        <v>62202.833333333489</v>
      </c>
      <c r="H11" s="67">
        <f>Расчёт.Окупаемости!H11*(1+чувОпр)-Расчёт.Окупаемости!H11</f>
        <v>-67200</v>
      </c>
      <c r="I11" s="67">
        <f>Расчёт.Окупаемости!I11*(1+чувОпр)-Расчёт.Окупаемости!I11</f>
        <v>-53820</v>
      </c>
      <c r="J11" s="67">
        <f>Расчёт.Окупаемости!$J11*(1+чувОпр)-Расчёт.Окупаемости!$J11</f>
        <v>-1630.5</v>
      </c>
      <c r="K11" s="67">
        <f>Расчёт.Окупаемости!K11*(1+чувВП)-Расчёт.Окупаемости!K11</f>
        <v>184853.33333333349</v>
      </c>
      <c r="L11" s="67">
        <f>SUM(F11:G11)+Расчёт.Окупаемости!M11</f>
        <v>-5828486.6055555567</v>
      </c>
      <c r="M11" s="67">
        <f t="shared" si="2"/>
        <v>0</v>
      </c>
      <c r="O11" s="58">
        <f t="shared" si="1"/>
        <v>-122650.5</v>
      </c>
      <c r="Q11" s="270"/>
    </row>
    <row r="12" spans="2:28" ht="16.5" thickTop="1" thickBot="1" x14ac:dyDescent="0.3">
      <c r="B12" s="67">
        <f>Расчёт.Окупаемости!B12</f>
        <v>5</v>
      </c>
      <c r="C12" s="67">
        <f>Расчёт.Окупаемости!C12</f>
        <v>7</v>
      </c>
      <c r="D12" s="67">
        <f>Расчёт.Окупаемости!D12</f>
        <v>2018</v>
      </c>
      <c r="E12" s="122">
        <f>Расчёт.Окупаемости!E12</f>
        <v>43312</v>
      </c>
      <c r="F12" s="67">
        <f>Расчёт.Окупаемости!F12*(1+'Анализ чувствительности'!$C$8)-Расчёт.Окупаемости!F12</f>
        <v>-258784.54999999981</v>
      </c>
      <c r="G12" s="67">
        <f t="shared" si="0"/>
        <v>92343.583333333954</v>
      </c>
      <c r="H12" s="67">
        <f>Расчёт.Окупаемости!H12*(1+чувОпр)-Расчёт.Окупаемости!H12</f>
        <v>-84000</v>
      </c>
      <c r="I12" s="67">
        <f>Расчёт.Окупаемости!I12*(1+чувОпр)-Расчёт.Окупаемости!I12</f>
        <v>-69615</v>
      </c>
      <c r="J12" s="67">
        <f>Расчёт.Окупаемости!$J12*(1+чувОпр)-Расчёт.Окупаемости!$J12</f>
        <v>-2233.5</v>
      </c>
      <c r="K12" s="67">
        <f>Расчёт.Окупаемости!K12*(1+чувВП)-Расчёт.Окупаемости!K12</f>
        <v>248192.08333333395</v>
      </c>
      <c r="L12" s="67">
        <f>SUM(F12:G12)+Расчёт.Окупаемости!M12</f>
        <v>-5636261.1333333328</v>
      </c>
      <c r="M12" s="67">
        <f t="shared" si="2"/>
        <v>0</v>
      </c>
      <c r="O12" s="58">
        <f t="shared" si="1"/>
        <v>-155848.5</v>
      </c>
      <c r="Q12" s="270"/>
    </row>
    <row r="13" spans="2:28" ht="16.5" thickTop="1" thickBot="1" x14ac:dyDescent="0.3">
      <c r="B13" s="67">
        <f>Расчёт.Окупаемости!B13</f>
        <v>6</v>
      </c>
      <c r="C13" s="67">
        <f>Расчёт.Окупаемости!C13</f>
        <v>8</v>
      </c>
      <c r="D13" s="67">
        <f>Расчёт.Окупаемости!D13</f>
        <v>2018</v>
      </c>
      <c r="E13" s="122">
        <f>Расчёт.Окупаемости!E13</f>
        <v>43343</v>
      </c>
      <c r="F13" s="67">
        <f>Расчёт.Окупаемости!F13*(1+'Анализ чувствительности'!$C$8)-Расчёт.Окупаемости!F13</f>
        <v>-258784.54999999981</v>
      </c>
      <c r="G13" s="67">
        <f t="shared" si="0"/>
        <v>122484.33333333395</v>
      </c>
      <c r="H13" s="67">
        <f>Расчёт.Окупаемости!H13*(1+чувОпр)-Расчёт.Окупаемости!H13</f>
        <v>-100800</v>
      </c>
      <c r="I13" s="67">
        <f>Расчёт.Окупаемости!I13*(1+чувОпр)-Расчёт.Окупаемости!I13</f>
        <v>-85410</v>
      </c>
      <c r="J13" s="67">
        <f>Расчёт.Окупаемости!$J13*(1+чувОпр)-Расчёт.Окупаемости!$J13</f>
        <v>-2836.5</v>
      </c>
      <c r="K13" s="67">
        <f>Расчёт.Окупаемости!K13*(1+чувВП)-Расчёт.Окупаемости!K13</f>
        <v>311530.83333333395</v>
      </c>
      <c r="L13" s="67">
        <f>SUM(F13:G13)+Расчёт.Окупаемости!M13</f>
        <v>-5444035.6611111108</v>
      </c>
      <c r="M13" s="67">
        <f t="shared" si="2"/>
        <v>0</v>
      </c>
      <c r="O13" s="58">
        <f t="shared" si="1"/>
        <v>-189046.5</v>
      </c>
      <c r="Q13" s="270"/>
    </row>
    <row r="14" spans="2:28" ht="16.5" thickTop="1" thickBot="1" x14ac:dyDescent="0.3">
      <c r="B14" s="67">
        <f>Расчёт.Окупаемости!B14</f>
        <v>7</v>
      </c>
      <c r="C14" s="67">
        <f>Расчёт.Окупаемости!C14</f>
        <v>9</v>
      </c>
      <c r="D14" s="67">
        <f>Расчёт.Окупаемости!D14</f>
        <v>2018</v>
      </c>
      <c r="E14" s="122">
        <f>Расчёт.Окупаемости!E14</f>
        <v>43373</v>
      </c>
      <c r="F14" s="67">
        <f>Расчёт.Окупаемости!F14*(1+'Анализ чувствительности'!$C$8)-Расчёт.Окупаемости!F14</f>
        <v>-258784.54999999981</v>
      </c>
      <c r="G14" s="67">
        <f t="shared" si="0"/>
        <v>152625.08333333395</v>
      </c>
      <c r="H14" s="67">
        <f>Расчёт.Окупаемости!H14*(1+чувОпр)-Расчёт.Окупаемости!H14</f>
        <v>-117600</v>
      </c>
      <c r="I14" s="67">
        <f>Расчёт.Окупаемости!I14*(1+чувОпр)-Расчёт.Окупаемости!I14</f>
        <v>-101205</v>
      </c>
      <c r="J14" s="67">
        <f>Расчёт.Окупаемости!$J14*(1+чувОпр)-Расчёт.Окупаемости!$J14</f>
        <v>-3439.5</v>
      </c>
      <c r="K14" s="67">
        <f>Расчёт.Окупаемости!K14*(1+чувВП)-Расчёт.Окупаемости!K14</f>
        <v>374869.58333333395</v>
      </c>
      <c r="L14" s="67">
        <f>SUM(F14:G14)+Расчёт.Окупаемости!M14</f>
        <v>-5251810.1888888888</v>
      </c>
      <c r="M14" s="67">
        <f t="shared" si="2"/>
        <v>0</v>
      </c>
      <c r="O14" s="58">
        <f t="shared" si="1"/>
        <v>-222244.5</v>
      </c>
      <c r="Q14" s="270"/>
    </row>
    <row r="15" spans="2:28" ht="16.5" thickTop="1" thickBot="1" x14ac:dyDescent="0.3">
      <c r="B15" s="67">
        <f>Расчёт.Окупаемости!B15</f>
        <v>8</v>
      </c>
      <c r="C15" s="67">
        <f>Расчёт.Окупаемости!C15</f>
        <v>10</v>
      </c>
      <c r="D15" s="67">
        <f>Расчёт.Окупаемости!D15</f>
        <v>2018</v>
      </c>
      <c r="E15" s="122">
        <f>Расчёт.Окупаемости!E15</f>
        <v>43404</v>
      </c>
      <c r="F15" s="67">
        <f>Расчёт.Окупаемости!F15*(1+'Анализ чувствительности'!$C$8)-Расчёт.Окупаемости!F15</f>
        <v>-258784.54999999981</v>
      </c>
      <c r="G15" s="67">
        <f t="shared" si="0"/>
        <v>203939.6016590909</v>
      </c>
      <c r="H15" s="67">
        <f>Расчёт.Окупаемости!H15*(1+чувОпр)-Расчёт.Окупаемости!H15</f>
        <v>-134400</v>
      </c>
      <c r="I15" s="67">
        <f>Расчёт.Окупаемости!I15*(1+чувОпр)-Расчёт.Окупаемости!I15</f>
        <v>-117000</v>
      </c>
      <c r="J15" s="67">
        <f>Расчёт.Окупаемости!$J15*(1+чувОпр)-Расчёт.Окупаемости!$J15</f>
        <v>-3981.6483409091015</v>
      </c>
      <c r="K15" s="67">
        <f>Расчёт.Окупаемости!K15*(1+чувВП)-Расчёт.Окупаемости!K15</f>
        <v>459321.25</v>
      </c>
      <c r="L15" s="67">
        <f>SUM(F15:G15)+Расчёт.Окупаемости!M15</f>
        <v>-4614124.2263712119</v>
      </c>
      <c r="M15" s="67">
        <f>IF(L15&gt;0,M14+1,0)</f>
        <v>0</v>
      </c>
      <c r="O15" s="58">
        <f t="shared" si="1"/>
        <v>-255381.6483409091</v>
      </c>
      <c r="Q15" s="270"/>
    </row>
    <row r="16" spans="2:28" ht="16.5" thickTop="1" thickBot="1" x14ac:dyDescent="0.3">
      <c r="B16" s="67">
        <f>Расчёт.Окупаемости!B16</f>
        <v>9</v>
      </c>
      <c r="C16" s="67">
        <f>Расчёт.Окупаемости!C16</f>
        <v>11</v>
      </c>
      <c r="D16" s="67">
        <f>Расчёт.Окупаемости!D16</f>
        <v>2018</v>
      </c>
      <c r="E16" s="122">
        <f>Расчёт.Окупаемости!E16</f>
        <v>43434</v>
      </c>
      <c r="F16" s="67">
        <f>Расчёт.Окупаемости!F16*(1+'Анализ чувствительности'!$C$8)-Расчёт.Окупаемости!F16</f>
        <v>-258784.54999999981</v>
      </c>
      <c r="G16" s="67">
        <f t="shared" si="0"/>
        <v>253265.11998484971</v>
      </c>
      <c r="H16" s="67">
        <f>Расчёт.Окупаемости!H16*(1+чувОпр)-Расчёт.Окупаемости!H16</f>
        <v>-151200</v>
      </c>
      <c r="I16" s="67">
        <f>Расчёт.Окупаемости!I16*(1+чувОпр)-Расчёт.Окупаемости!I16</f>
        <v>-135135</v>
      </c>
      <c r="J16" s="67">
        <f>Расчёт.Окупаемости!$J16*(1+чувОпр)-Расчёт.Окупаемости!$J16</f>
        <v>-4172.796681818174</v>
      </c>
      <c r="K16" s="67">
        <f>Расчёт.Окупаемости!K16*(1+чувВП)-Расчёт.Окупаемости!K16</f>
        <v>543772.91666666791</v>
      </c>
      <c r="L16" s="67">
        <f>SUM(F16:G16)+Расчёт.Окупаемости!M16</f>
        <v>-4044727.2638535351</v>
      </c>
      <c r="M16" s="67">
        <f t="shared" si="2"/>
        <v>0</v>
      </c>
      <c r="O16" s="58">
        <f t="shared" si="1"/>
        <v>-290507.7966818182</v>
      </c>
      <c r="Q16" s="270"/>
    </row>
    <row r="17" spans="2:17" ht="16.5" thickTop="1" thickBot="1" x14ac:dyDescent="0.3">
      <c r="B17" s="67">
        <f>Расчёт.Окупаемости!B17</f>
        <v>10</v>
      </c>
      <c r="C17" s="67">
        <f>Расчёт.Окупаемости!C17</f>
        <v>12</v>
      </c>
      <c r="D17" s="67">
        <f>Расчёт.Окупаемости!D17</f>
        <v>2018</v>
      </c>
      <c r="E17" s="122">
        <f>Расчёт.Окупаемости!E17</f>
        <v>43465</v>
      </c>
      <c r="F17" s="67">
        <f>Расчёт.Окупаемости!F17*(1+'Анализ чувствительности'!$C$8)-Расчёт.Окупаемости!F17</f>
        <v>-258784.54999999981</v>
      </c>
      <c r="G17" s="67">
        <f t="shared" si="0"/>
        <v>313935.33831060666</v>
      </c>
      <c r="H17" s="67">
        <f>Расчёт.Окупаемости!H17*(1+чувОпр)-Расчёт.Окупаемости!H17</f>
        <v>-168000</v>
      </c>
      <c r="I17" s="67">
        <f>Расчёт.Окупаемости!I17*(1+чувОпр)-Расчёт.Окупаемости!I17</f>
        <v>-153270</v>
      </c>
      <c r="J17" s="67">
        <f>Расчёт.Окупаемости!$J17*(1+чувОпр)-Расчёт.Окупаемости!$J17</f>
        <v>-5189.2450227272639</v>
      </c>
      <c r="K17" s="67">
        <f>Расчёт.Окупаемости!K17*(1+чувВП)-Расчёт.Окупаемости!K17</f>
        <v>640394.58333333395</v>
      </c>
      <c r="L17" s="67">
        <f>SUM(F17:G17)+Расчёт.Окупаемости!M17</f>
        <v>-3248095.6013358599</v>
      </c>
      <c r="M17" s="67">
        <f t="shared" si="2"/>
        <v>0</v>
      </c>
      <c r="O17" s="58">
        <f t="shared" si="1"/>
        <v>-326459.24502272729</v>
      </c>
      <c r="Q17" s="270"/>
    </row>
    <row r="18" spans="2:17" ht="15.75" thickTop="1" x14ac:dyDescent="0.25">
      <c r="B18" s="67">
        <f>Расчёт.Окупаемости!B18</f>
        <v>11</v>
      </c>
      <c r="C18" s="67">
        <f>Расчёт.Окупаемости!C18</f>
        <v>1</v>
      </c>
      <c r="D18" s="67">
        <f>Расчёт.Окупаемости!D18</f>
        <v>2019</v>
      </c>
      <c r="E18" s="122">
        <f>Расчёт.Окупаемости!E18</f>
        <v>43496</v>
      </c>
      <c r="F18" s="67">
        <f>Расчёт.Окупаемости!F18*(1+'Анализ чувствительности'!$C$8)-Расчёт.Окупаемости!F18</f>
        <v>-258784.54999999981</v>
      </c>
      <c r="G18" s="67">
        <f t="shared" si="0"/>
        <v>374640.23180227273</v>
      </c>
      <c r="H18" s="67">
        <f>Расчёт.Окупаемости!H18*(1+чувОпр)-Расчёт.Окупаемости!H18</f>
        <v>-184800</v>
      </c>
      <c r="I18" s="67">
        <f>Расчёт.Окупаемости!I18*(1+чувОпр)-Расчёт.Окупаемости!I18</f>
        <v>-171405</v>
      </c>
      <c r="J18" s="67">
        <f>Расчёт.Окупаемости!$J18*(1+чувОпр)-Расчёт.Окупаемости!$J18</f>
        <v>-6171.0181977272732</v>
      </c>
      <c r="K18" s="67">
        <f>Расчёт.Окупаемости!K18*(1+чувВП)-Расчёт.Окупаемости!K18</f>
        <v>737016.25</v>
      </c>
      <c r="L18" s="67">
        <f>SUM(F18:G18)+Расчёт.Окупаемости!M18</f>
        <v>-2450273.4247886389</v>
      </c>
      <c r="M18" s="67">
        <f t="shared" si="2"/>
        <v>0</v>
      </c>
      <c r="O18" s="58">
        <f t="shared" si="1"/>
        <v>-362376.01819772727</v>
      </c>
    </row>
    <row r="19" spans="2:17" x14ac:dyDescent="0.25">
      <c r="B19" s="67">
        <f>Расчёт.Окупаемости!B19</f>
        <v>12</v>
      </c>
      <c r="C19" s="67">
        <f>Расчёт.Окупаемости!C19</f>
        <v>2</v>
      </c>
      <c r="D19" s="67">
        <f>Расчёт.Окупаемости!D19</f>
        <v>2019</v>
      </c>
      <c r="E19" s="122">
        <f>Расчёт.Окупаемости!E19</f>
        <v>43524</v>
      </c>
      <c r="F19" s="67">
        <f>Расчёт.Окупаемости!F19*(1+'Анализ чувствительности'!$C$8)-Расчёт.Окупаемости!F19</f>
        <v>-258784.54999999981</v>
      </c>
      <c r="G19" s="67">
        <f t="shared" si="0"/>
        <v>435345.12529394065</v>
      </c>
      <c r="H19" s="67">
        <f>Расчёт.Окупаемости!H19*(1+чувОпр)-Расчёт.Окупаемости!H19</f>
        <v>-201600</v>
      </c>
      <c r="I19" s="67">
        <f>Расчёт.Окупаемости!I19*(1+чувОпр)-Расчёт.Окупаемости!I19</f>
        <v>-189540</v>
      </c>
      <c r="J19" s="67">
        <f>Расчёт.Окупаемости!$J19*(1+чувОпр)-Расчёт.Окупаемости!$J19</f>
        <v>-7152.7913727272826</v>
      </c>
      <c r="K19" s="67">
        <f>Расчёт.Окупаемости!K19*(1+чувВП)-Расчёт.Окупаемости!K19</f>
        <v>833637.91666666791</v>
      </c>
      <c r="L19" s="67">
        <f>SUM(F19:G19)+Расчёт.Окупаемости!M19</f>
        <v>-1652451.2482414176</v>
      </c>
      <c r="M19" s="67">
        <f t="shared" si="2"/>
        <v>0</v>
      </c>
      <c r="O19" s="58">
        <f t="shared" si="1"/>
        <v>-398292.79137272725</v>
      </c>
    </row>
    <row r="20" spans="2:17" x14ac:dyDescent="0.25">
      <c r="B20" s="67">
        <f>Расчёт.Окупаемости!B20</f>
        <v>13</v>
      </c>
      <c r="C20" s="67">
        <f>Расчёт.Окупаемости!C20</f>
        <v>3</v>
      </c>
      <c r="D20" s="67">
        <f>Расчёт.Окупаемости!D20</f>
        <v>2019</v>
      </c>
      <c r="E20" s="122">
        <f>Расчёт.Окупаемости!E20</f>
        <v>43555</v>
      </c>
      <c r="F20" s="67">
        <f>Расчёт.Окупаемости!F20*(1+'Анализ чувствительности'!$C$8)-Расчёт.Окупаемости!F20</f>
        <v>-258784.54999999981</v>
      </c>
      <c r="G20" s="67">
        <f t="shared" si="0"/>
        <v>496050.0187856048</v>
      </c>
      <c r="H20" s="67">
        <f>Расчёт.Окупаемости!H20*(1+чувОпр)-Расчёт.Окупаемости!H20</f>
        <v>-218400</v>
      </c>
      <c r="I20" s="67">
        <f>Расчёт.Окупаемости!I20*(1+чувОпр)-Расчёт.Окупаемости!I20</f>
        <v>-207675</v>
      </c>
      <c r="J20" s="67">
        <f>Расчёт.Окупаемости!$J20*(1+чувОпр)-Расчёт.Окупаемости!$J20</f>
        <v>-8134.5645477272919</v>
      </c>
      <c r="K20" s="67">
        <f>Расчёт.Окупаемости!K20*(1+чувВП)-Расчёт.Окупаемости!K20</f>
        <v>930259.58333333209</v>
      </c>
      <c r="L20" s="67">
        <f>SUM(F20:G20)+Расчёт.Окупаемости!M20</f>
        <v>-854629.07169419806</v>
      </c>
      <c r="M20" s="67">
        <f t="shared" si="2"/>
        <v>0</v>
      </c>
      <c r="O20" s="58">
        <f t="shared" si="1"/>
        <v>-434209.56454772729</v>
      </c>
    </row>
    <row r="21" spans="2:17" x14ac:dyDescent="0.25">
      <c r="B21" s="67">
        <f>Расчёт.Окупаемости!B21</f>
        <v>14</v>
      </c>
      <c r="C21" s="67">
        <f>Расчёт.Окупаемости!C21</f>
        <v>4</v>
      </c>
      <c r="D21" s="67">
        <f>Расчёт.Окупаемости!D21</f>
        <v>2019</v>
      </c>
      <c r="E21" s="122">
        <f>Расчёт.Окупаемости!E21</f>
        <v>43585</v>
      </c>
      <c r="F21" s="67">
        <f>Расчёт.Окупаемости!F21*(1+'Анализ чувствительности'!$C$8)-Расчёт.Окупаемости!F21</f>
        <v>-258784.54999999981</v>
      </c>
      <c r="G21" s="67">
        <f t="shared" si="0"/>
        <v>556754.91227727267</v>
      </c>
      <c r="H21" s="67">
        <f>Расчёт.Окупаемости!H21*(1+чувОпр)-Расчёт.Окупаемости!H21</f>
        <v>-235200</v>
      </c>
      <c r="I21" s="67">
        <f>Расчёт.Окупаемости!I21*(1+чувОпр)-Расчёт.Окупаемости!I21</f>
        <v>-225810</v>
      </c>
      <c r="J21" s="67">
        <f>Расчёт.Окупаемости!$J21*(1+чувОпр)-Расчёт.Окупаемости!$J21</f>
        <v>-9116.3377227272722</v>
      </c>
      <c r="K21" s="67">
        <f>Расчёт.Окупаемости!K21*(1+чувВП)-Расчёт.Окупаемости!K21</f>
        <v>1026881.25</v>
      </c>
      <c r="L21" s="67">
        <f>SUM(F21:G21)+Расчёт.Окупаемости!M21</f>
        <v>-56806.895146976458</v>
      </c>
      <c r="M21" s="67">
        <f t="shared" si="2"/>
        <v>0</v>
      </c>
      <c r="O21" s="58">
        <f t="shared" si="1"/>
        <v>-470126.33772272727</v>
      </c>
    </row>
    <row r="22" spans="2:17" x14ac:dyDescent="0.25">
      <c r="B22" s="67">
        <f>Расчёт.Окупаемости!B22</f>
        <v>15</v>
      </c>
      <c r="C22" s="67">
        <f>Расчёт.Окупаемости!C22</f>
        <v>5</v>
      </c>
      <c r="D22" s="67">
        <f>Расчёт.Окупаемости!D22</f>
        <v>2019</v>
      </c>
      <c r="E22" s="122">
        <f>Расчёт.Окупаемости!E22</f>
        <v>43616</v>
      </c>
      <c r="F22" s="67">
        <f>Расчёт.Окупаемости!F22*(1+'Анализ чувствительности'!$C$8)-Расчёт.Окупаемости!F22</f>
        <v>-258784.54999999981</v>
      </c>
      <c r="G22" s="67">
        <f t="shared" si="0"/>
        <v>605400.91227727267</v>
      </c>
      <c r="H22" s="67">
        <f>Расчёт.Окупаемости!H22*(1+чувОпр)-Расчёт.Окупаемости!H22</f>
        <v>-252000</v>
      </c>
      <c r="I22" s="67">
        <f>Расчёт.Окупаемости!I22*(1+чувОпр)-Расчёт.Окупаемости!I22</f>
        <v>-243945</v>
      </c>
      <c r="J22" s="67">
        <f>Расчёт.Окупаемости!$J22*(1+чувОпр)-Расчёт.Окупаемости!$J22</f>
        <v>-9957.8377227272722</v>
      </c>
      <c r="K22" s="67">
        <f>Расчёт.Окупаемости!K22*(1+чувВП)-Расчёт.Окупаемости!K22</f>
        <v>1111303.75</v>
      </c>
      <c r="L22" s="67">
        <f>SUM(F22:G22)+Расчёт.Окупаемости!M22</f>
        <v>489648.82707524742</v>
      </c>
      <c r="M22" s="67">
        <f t="shared" si="2"/>
        <v>1</v>
      </c>
      <c r="O22" s="58">
        <f t="shared" si="1"/>
        <v>-505902.83772272727</v>
      </c>
    </row>
    <row r="23" spans="2:17" x14ac:dyDescent="0.25">
      <c r="B23" s="67">
        <f>Расчёт.Окупаемости!B23</f>
        <v>16</v>
      </c>
      <c r="C23" s="67">
        <f>Расчёт.Окупаемости!C23</f>
        <v>6</v>
      </c>
      <c r="D23" s="67">
        <f>Расчёт.Окупаемости!D23</f>
        <v>2019</v>
      </c>
      <c r="E23" s="122">
        <f>Расчёт.Окупаемости!E23</f>
        <v>43646</v>
      </c>
      <c r="F23" s="67">
        <f>Расчёт.Окупаемости!F23*(1+'Анализ чувствительности'!$C$8)-Расчёт.Окупаемости!F23</f>
        <v>-258784.54999999981</v>
      </c>
      <c r="G23" s="67">
        <f t="shared" si="0"/>
        <v>654046.91227727267</v>
      </c>
      <c r="H23" s="67">
        <f>Расчёт.Окупаемости!H23*(1+чувОпр)-Расчёт.Окупаемости!H23</f>
        <v>-268800</v>
      </c>
      <c r="I23" s="67">
        <f>Расчёт.Окупаемости!I23*(1+чувОпр)-Расчёт.Окупаемости!I23</f>
        <v>-262080</v>
      </c>
      <c r="J23" s="67">
        <f>Расчёт.Окупаемости!$J23*(1+чувОпр)-Расчёт.Окупаемости!$J23</f>
        <v>-10799.337722727272</v>
      </c>
      <c r="K23" s="67">
        <f>Расчёт.Окупаемости!K23*(1+чувВП)-Расчёт.Окупаемости!K23</f>
        <v>1195726.25</v>
      </c>
      <c r="L23" s="67">
        <f>SUM(F23:G23)+Расчёт.Окупаемости!M23</f>
        <v>1036104.5492974694</v>
      </c>
      <c r="M23" s="67">
        <f t="shared" si="2"/>
        <v>2</v>
      </c>
      <c r="O23" s="58">
        <f t="shared" si="1"/>
        <v>-541679.33772272733</v>
      </c>
    </row>
    <row r="24" spans="2:17" x14ac:dyDescent="0.25">
      <c r="B24" s="67">
        <f>Расчёт.Окупаемости!B24</f>
        <v>17</v>
      </c>
      <c r="C24" s="67">
        <f>Расчёт.Окупаемости!C24</f>
        <v>7</v>
      </c>
      <c r="D24" s="67">
        <f>Расчёт.Окупаемости!D24</f>
        <v>2019</v>
      </c>
      <c r="E24" s="122">
        <f>Расчёт.Окупаемости!E24</f>
        <v>43677</v>
      </c>
      <c r="F24" s="67">
        <f>Расчёт.Окупаемости!F24*(1+'Анализ чувствительности'!$C$8)-Расчёт.Окупаемости!F24</f>
        <v>-258784.54999999981</v>
      </c>
      <c r="G24" s="67">
        <f t="shared" si="0"/>
        <v>702692.91227727267</v>
      </c>
      <c r="H24" s="67">
        <f>Расчёт.Окупаемости!H24*(1+чувОпр)-Расчёт.Окупаемости!H24</f>
        <v>-285600</v>
      </c>
      <c r="I24" s="67">
        <f>Расчёт.Окупаемости!I24*(1+чувОпр)-Расчёт.Окупаемости!I24</f>
        <v>-280215</v>
      </c>
      <c r="J24" s="67">
        <f>Расчёт.Окупаемости!$J24*(1+чувОпр)-Расчёт.Окупаемости!$J24</f>
        <v>-11640.837722727272</v>
      </c>
      <c r="K24" s="67">
        <f>Расчёт.Окупаемости!K24*(1+чувВП)-Расчёт.Окупаемости!K24</f>
        <v>1280148.75</v>
      </c>
      <c r="L24" s="67">
        <f>SUM(F24:G24)+Расчёт.Окупаемости!M24</f>
        <v>1582560.2715196915</v>
      </c>
      <c r="M24" s="67">
        <f t="shared" si="2"/>
        <v>3</v>
      </c>
      <c r="O24" s="58">
        <f t="shared" si="1"/>
        <v>-577455.83772272733</v>
      </c>
    </row>
    <row r="25" spans="2:17" x14ac:dyDescent="0.25">
      <c r="B25" s="67">
        <f>Расчёт.Окупаемости!B25</f>
        <v>18</v>
      </c>
      <c r="C25" s="67">
        <f>Расчёт.Окупаемости!C25</f>
        <v>8</v>
      </c>
      <c r="D25" s="67">
        <f>Расчёт.Окупаемости!D25</f>
        <v>2019</v>
      </c>
      <c r="E25" s="122">
        <f>Расчёт.Окупаемости!E25</f>
        <v>43708</v>
      </c>
      <c r="F25" s="67">
        <f>Расчёт.Окупаемости!F25*(1+'Анализ чувствительности'!$C$8)-Расчёт.Окупаемости!F25</f>
        <v>-258784.54999999981</v>
      </c>
      <c r="G25" s="67">
        <f t="shared" si="0"/>
        <v>751338.91227727267</v>
      </c>
      <c r="H25" s="67">
        <f>Расчёт.Окупаемости!H25*(1+чувОпр)-Расчёт.Окупаемости!H25</f>
        <v>-302400</v>
      </c>
      <c r="I25" s="67">
        <f>Расчёт.Окупаемости!I25*(1+чувОпр)-Расчёт.Окупаемости!I25</f>
        <v>-298350</v>
      </c>
      <c r="J25" s="67">
        <f>Расчёт.Окупаемости!$J25*(1+чувОпр)-Расчёт.Окупаемости!$J25</f>
        <v>-12482.337722727272</v>
      </c>
      <c r="K25" s="67">
        <f>Расчёт.Окупаемости!K25*(1+чувВП)-Расчёт.Окупаемости!K25</f>
        <v>1364571.25</v>
      </c>
      <c r="L25" s="67">
        <f>SUM(F25:G25)+Расчёт.Окупаемости!M25</f>
        <v>2129015.9937419146</v>
      </c>
      <c r="M25" s="67">
        <f t="shared" si="2"/>
        <v>4</v>
      </c>
      <c r="O25" s="58">
        <f t="shared" si="1"/>
        <v>-613232.33772272733</v>
      </c>
    </row>
    <row r="26" spans="2:17" x14ac:dyDescent="0.25">
      <c r="B26" s="67">
        <f>Расчёт.Окупаемости!B26</f>
        <v>19</v>
      </c>
      <c r="C26" s="67">
        <f>Расчёт.Окупаемости!C26</f>
        <v>9</v>
      </c>
      <c r="D26" s="67">
        <f>Расчёт.Окупаемости!D26</f>
        <v>2019</v>
      </c>
      <c r="E26" s="122">
        <f>Расчёт.Окупаемости!E26</f>
        <v>43738</v>
      </c>
      <c r="F26" s="67">
        <f>Расчёт.Окупаемости!F26*(1+'Анализ чувствительности'!$C$8)-Расчёт.Окупаемости!F26</f>
        <v>-258784.54999999981</v>
      </c>
      <c r="G26" s="67">
        <f t="shared" si="0"/>
        <v>799984.91227727267</v>
      </c>
      <c r="H26" s="67">
        <f>Расчёт.Окупаемости!H26*(1+чувОпр)-Расчёт.Окупаемости!H26</f>
        <v>-319200</v>
      </c>
      <c r="I26" s="67">
        <f>Расчёт.Окупаемости!I26*(1+чувОпр)-Расчёт.Окупаемости!I26</f>
        <v>-316485</v>
      </c>
      <c r="J26" s="67">
        <f>Расчёт.Окупаемости!$J26*(1+чувОпр)-Расчёт.Окупаемости!$J26</f>
        <v>-13323.837722727272</v>
      </c>
      <c r="K26" s="67">
        <f>Расчёт.Окупаемости!K26*(1+чувВП)-Расчёт.Окупаемости!K26</f>
        <v>1448993.75</v>
      </c>
      <c r="L26" s="67">
        <f>SUM(F26:G26)+Расчёт.Окупаемости!M26</f>
        <v>2675471.7159641366</v>
      </c>
      <c r="M26" s="67">
        <f t="shared" si="2"/>
        <v>5</v>
      </c>
      <c r="O26" s="58">
        <f t="shared" si="1"/>
        <v>-649008.83772272733</v>
      </c>
    </row>
    <row r="27" spans="2:17" x14ac:dyDescent="0.25">
      <c r="B27" s="67">
        <f>Расчёт.Окупаемости!B27</f>
        <v>20</v>
      </c>
      <c r="C27" s="67">
        <f>Расчёт.Окупаемости!C27</f>
        <v>10</v>
      </c>
      <c r="D27" s="67">
        <f>Расчёт.Окупаемости!D27</f>
        <v>2019</v>
      </c>
      <c r="E27" s="122">
        <f>Расчёт.Окупаемости!E27</f>
        <v>43769</v>
      </c>
      <c r="F27" s="67">
        <f>Расчёт.Окупаемости!F27*(1+'Анализ чувствительности'!$C$8)-Расчёт.Окупаемости!F27</f>
        <v>-258784.54999999981</v>
      </c>
      <c r="G27" s="67">
        <f t="shared" si="0"/>
        <v>875196.72243560851</v>
      </c>
      <c r="H27" s="67">
        <f>Расчёт.Окупаемости!H27*(1+чувОпр)-Расчёт.Окупаемости!H27</f>
        <v>-336000</v>
      </c>
      <c r="I27" s="67">
        <f>Расчёт.Окупаемости!I27*(1+чувОпр)-Расчёт.Окупаемости!I27</f>
        <v>-334620</v>
      </c>
      <c r="J27" s="67">
        <f>Расчёт.Окупаемости!$J27*(1+чувОпр)-Расчёт.Окупаемости!$J27</f>
        <v>-15740.360897727311</v>
      </c>
      <c r="K27" s="67">
        <f>Расчёт.Окупаемости!K27*(1+чувВП)-Расчёт.Окупаемости!K27</f>
        <v>1561557.0833333358</v>
      </c>
      <c r="L27" s="67">
        <f>SUM(F27:G27)+Расчёт.Окупаемости!M27</f>
        <v>3758809.1425113576</v>
      </c>
      <c r="M27" s="67">
        <f t="shared" si="2"/>
        <v>6</v>
      </c>
      <c r="O27" s="58">
        <f t="shared" si="1"/>
        <v>-686360.36089772731</v>
      </c>
    </row>
    <row r="28" spans="2:17" x14ac:dyDescent="0.25">
      <c r="B28" s="67">
        <f>Расчёт.Окупаемости!B28</f>
        <v>21</v>
      </c>
      <c r="C28" s="67">
        <f>Расчёт.Окупаемости!C28</f>
        <v>11</v>
      </c>
      <c r="D28" s="67">
        <f>Расчёт.Окупаемости!D28</f>
        <v>2019</v>
      </c>
      <c r="E28" s="122">
        <f>Расчёт.Окупаемости!E28</f>
        <v>43799</v>
      </c>
      <c r="F28" s="67">
        <f>Расчёт.Окупаемости!F28*(1+'Анализ чувствительности'!$C$8)-Расчёт.Окупаемости!F28</f>
        <v>-258784.54999999981</v>
      </c>
      <c r="G28" s="67">
        <f t="shared" si="0"/>
        <v>950408.53259393689</v>
      </c>
      <c r="H28" s="67">
        <f>Расчёт.Окупаемости!H28*(1+чувОпр)-Расчёт.Окупаемости!H28</f>
        <v>-352800</v>
      </c>
      <c r="I28" s="67">
        <f>Расчёт.Окупаемости!I28*(1+чувОпр)-Расчёт.Окупаемости!I28</f>
        <v>-352755</v>
      </c>
      <c r="J28" s="67">
        <f>Расчёт.Окупаемости!$J28*(1+чувОпр)-Расчёт.Окупаемости!$J28</f>
        <v>-18156.884072727291</v>
      </c>
      <c r="K28" s="67">
        <f>Расчёт.Окупаемости!K28*(1+чувВП)-Расчёт.Окупаемости!K28</f>
        <v>1674120.4166666642</v>
      </c>
      <c r="L28" s="67">
        <f>SUM(F28:G28)+Расчёт.Окупаемости!M28</f>
        <v>4842146.569058571</v>
      </c>
      <c r="M28" s="67">
        <f t="shared" si="2"/>
        <v>7</v>
      </c>
      <c r="O28" s="58">
        <f t="shared" si="1"/>
        <v>-723711.88407272729</v>
      </c>
    </row>
    <row r="29" spans="2:17" x14ac:dyDescent="0.25">
      <c r="B29" s="67">
        <f>Расчёт.Окупаемости!B29</f>
        <v>22</v>
      </c>
      <c r="C29" s="67">
        <f>Расчёт.Окупаемости!C29</f>
        <v>12</v>
      </c>
      <c r="D29" s="67">
        <f>Расчёт.Окупаемости!D29</f>
        <v>2019</v>
      </c>
      <c r="E29" s="122">
        <f>Расчёт.Окупаемости!E29</f>
        <v>43830</v>
      </c>
      <c r="F29" s="67">
        <f>Расчёт.Окупаемости!F29*(1+'Анализ чувствительности'!$C$8)-Расчёт.Окупаемости!F29</f>
        <v>-258784.54999999981</v>
      </c>
      <c r="G29" s="67">
        <f t="shared" si="0"/>
        <v>1025620.3427522727</v>
      </c>
      <c r="H29" s="67">
        <f>Расчёт.Окупаемости!H29*(1+чувОпр)-Расчёт.Окупаемости!H29</f>
        <v>-369600</v>
      </c>
      <c r="I29" s="67">
        <f>Расчёт.Окупаемости!I29*(1+чувОпр)-Расчёт.Окупаемости!I29</f>
        <v>-370890</v>
      </c>
      <c r="J29" s="67">
        <f>Расчёт.Окупаемости!$J29*(1+чувОпр)-Расчёт.Окупаемости!$J29</f>
        <v>-20573.407247727271</v>
      </c>
      <c r="K29" s="67">
        <f>Расчёт.Окупаемости!K29*(1+чувВП)-Расчёт.Окупаемости!K29</f>
        <v>1786683.75</v>
      </c>
      <c r="L29" s="67">
        <f>SUM(F29:G29)+Расчёт.Окупаемости!M29</f>
        <v>5925483.9956057929</v>
      </c>
      <c r="M29" s="67">
        <f t="shared" si="2"/>
        <v>8</v>
      </c>
      <c r="O29" s="58">
        <f t="shared" si="1"/>
        <v>-761063.40724772727</v>
      </c>
    </row>
    <row r="30" spans="2:17" x14ac:dyDescent="0.25">
      <c r="B30" s="67">
        <f>Расчёт.Окупаемости!B30</f>
        <v>23</v>
      </c>
      <c r="C30" s="67">
        <f>Расчёт.Окупаемости!C30</f>
        <v>1</v>
      </c>
      <c r="D30" s="67">
        <f>Расчёт.Окупаемости!D30</f>
        <v>2020</v>
      </c>
      <c r="E30" s="122">
        <f>Расчёт.Окупаемости!E30</f>
        <v>43861</v>
      </c>
      <c r="F30" s="67">
        <f>Расчёт.Окупаемости!F30*(1+'Анализ чувствительности'!$C$8)-Расчёт.Окупаемости!F30</f>
        <v>-258784.54999999981</v>
      </c>
      <c r="G30" s="67">
        <f t="shared" si="0"/>
        <v>1100832.1529106086</v>
      </c>
      <c r="H30" s="67">
        <f>Расчёт.Окупаемости!H30*(1+чувОпр)-Расчёт.Окупаемости!H30</f>
        <v>-386400</v>
      </c>
      <c r="I30" s="67">
        <f>Расчёт.Окупаемости!I30*(1+чувОпр)-Расчёт.Окупаемости!I30</f>
        <v>-389025</v>
      </c>
      <c r="J30" s="67">
        <f>Расчёт.Окупаемости!$J30*(1+чувОпр)-Расчёт.Окупаемости!$J30</f>
        <v>-22989.930422727251</v>
      </c>
      <c r="K30" s="67">
        <f>Расчёт.Окупаемости!K30*(1+чувВП)-Расчёт.Окупаемости!K30</f>
        <v>1899247.0833333358</v>
      </c>
      <c r="L30" s="67">
        <f>SUM(F30:G30)+Расчёт.Окупаемости!M30</f>
        <v>7008821.4221530175</v>
      </c>
      <c r="M30" s="67">
        <f t="shared" si="2"/>
        <v>9</v>
      </c>
      <c r="O30" s="58">
        <f t="shared" si="1"/>
        <v>-798414.93042272725</v>
      </c>
    </row>
    <row r="31" spans="2:17" x14ac:dyDescent="0.25">
      <c r="B31" s="67">
        <f>Расчёт.Окупаемости!B31</f>
        <v>24</v>
      </c>
      <c r="C31" s="67">
        <f>Расчёт.Окупаемости!C31</f>
        <v>2</v>
      </c>
      <c r="D31" s="67">
        <f>Расчёт.Окупаемости!D31</f>
        <v>2020</v>
      </c>
      <c r="E31" s="122">
        <f>Расчёт.Окупаемости!E31</f>
        <v>43890</v>
      </c>
      <c r="F31" s="67">
        <f>Расчёт.Окупаемости!F31*(1+'Анализ чувствительности'!$C$8)-Расчёт.Окупаемости!F31</f>
        <v>-258784.54999999981</v>
      </c>
      <c r="G31" s="67">
        <f t="shared" si="0"/>
        <v>1176043.963068937</v>
      </c>
      <c r="H31" s="67">
        <f>Расчёт.Окупаемости!H31*(1+чувОпр)-Расчёт.Окупаемости!H31</f>
        <v>-403200</v>
      </c>
      <c r="I31" s="67">
        <f>Расчёт.Окупаемости!I31*(1+чувОпр)-Расчёт.Окупаемости!I31</f>
        <v>-407160</v>
      </c>
      <c r="J31" s="67">
        <f>Расчёт.Окупаемости!$J31*(1+чувОпр)-Расчёт.Окупаемости!$J31</f>
        <v>-25406.453597727232</v>
      </c>
      <c r="K31" s="67">
        <f>Расчёт.Окупаемости!K31*(1+чувВП)-Расчёт.Окупаемости!K31</f>
        <v>2011810.4166666642</v>
      </c>
      <c r="L31" s="67">
        <f>SUM(F31:G31)+Расчёт.Окупаемости!M31</f>
        <v>8092158.8487002309</v>
      </c>
      <c r="M31" s="67">
        <f t="shared" si="2"/>
        <v>10</v>
      </c>
      <c r="O31" s="58">
        <f t="shared" si="1"/>
        <v>-835766.45359772723</v>
      </c>
    </row>
    <row r="32" spans="2:17" x14ac:dyDescent="0.25">
      <c r="B32" s="67">
        <f>Расчёт.Окупаемости!B32</f>
        <v>25</v>
      </c>
      <c r="C32" s="67">
        <f>Расчёт.Окупаемости!C32</f>
        <v>3</v>
      </c>
      <c r="D32" s="67">
        <f>Расчёт.Окупаемости!D32</f>
        <v>2020</v>
      </c>
      <c r="E32" s="122">
        <f>Расчёт.Окупаемости!E32</f>
        <v>43921</v>
      </c>
      <c r="F32" s="67">
        <f>Расчёт.Окупаемости!F32*(1+'Анализ чувствительности'!$C$8)-Расчёт.Окупаемости!F32</f>
        <v>-258784.54999999981</v>
      </c>
      <c r="G32" s="67">
        <f t="shared" si="0"/>
        <v>1251255.7732272726</v>
      </c>
      <c r="H32" s="67">
        <f>Расчёт.Окупаемости!H32*(1+чувОпр)-Расчёт.Окупаемости!H32</f>
        <v>-420000</v>
      </c>
      <c r="I32" s="67">
        <f>Расчёт.Окупаемости!I32*(1+чувОпр)-Расчёт.Окупаемости!I32</f>
        <v>-425295</v>
      </c>
      <c r="J32" s="67">
        <f>Расчёт.Окупаемости!$J32*(1+чувОпр)-Расчёт.Окупаемости!$J32</f>
        <v>-27822.976772727328</v>
      </c>
      <c r="K32" s="67">
        <f>Расчёт.Окупаемости!K32*(1+чувВП)-Расчёт.Окупаемости!K32</f>
        <v>2124373.75</v>
      </c>
      <c r="L32" s="67">
        <f>SUM(F32:G32)+Расчёт.Окупаемости!M32</f>
        <v>9175496.2752474546</v>
      </c>
      <c r="M32" s="67">
        <f t="shared" si="2"/>
        <v>11</v>
      </c>
      <c r="O32" s="58">
        <f t="shared" si="1"/>
        <v>-873117.97677272733</v>
      </c>
    </row>
    <row r="33" spans="2:15" x14ac:dyDescent="0.25">
      <c r="B33" s="67">
        <f>Расчёт.Окупаемости!B33</f>
        <v>26</v>
      </c>
      <c r="C33" s="67">
        <f>Расчёт.Окупаемости!C33</f>
        <v>4</v>
      </c>
      <c r="D33" s="67">
        <f>Расчёт.Окупаемости!D33</f>
        <v>2020</v>
      </c>
      <c r="E33" s="122">
        <f>Расчёт.Окупаемости!E33</f>
        <v>43951</v>
      </c>
      <c r="F33" s="67">
        <f>Расчёт.Окупаемости!F33*(1+'Анализ чувствительности'!$C$8)-Расчёт.Окупаемости!F33</f>
        <v>-258784.54999999981</v>
      </c>
      <c r="G33" s="67">
        <f t="shared" si="0"/>
        <v>1326467.5833856086</v>
      </c>
      <c r="H33" s="67">
        <f>Расчёт.Окупаемости!H33*(1+чувОпр)-Расчёт.Окупаемости!H33</f>
        <v>-436800</v>
      </c>
      <c r="I33" s="67">
        <f>Расчёт.Окупаемости!I33*(1+чувОпр)-Расчёт.Окупаемости!I33</f>
        <v>-443430</v>
      </c>
      <c r="J33" s="67">
        <f>Расчёт.Окупаемости!$J33*(1+чувОпр)-Расчёт.Окупаемости!$J33</f>
        <v>-30239.499947727309</v>
      </c>
      <c r="K33" s="67">
        <f>Расчёт.Окупаемости!K33*(1+чувВП)-Расчёт.Окупаемости!K33</f>
        <v>2236937.0833333358</v>
      </c>
      <c r="L33" s="67">
        <f>SUM(F33:G33)+Расчёт.Окупаемости!M33</f>
        <v>10258833.701794675</v>
      </c>
      <c r="M33" s="67">
        <f t="shared" si="2"/>
        <v>12</v>
      </c>
      <c r="O33" s="58">
        <f t="shared" si="1"/>
        <v>-910469.49994772731</v>
      </c>
    </row>
    <row r="34" spans="2:15" x14ac:dyDescent="0.25">
      <c r="B34" s="67">
        <f>Расчёт.Окупаемости!B34</f>
        <v>27</v>
      </c>
      <c r="C34" s="67">
        <f>Расчёт.Окупаемости!C34</f>
        <v>5</v>
      </c>
      <c r="D34" s="67">
        <f>Расчёт.Окупаемости!D34</f>
        <v>2020</v>
      </c>
      <c r="E34" s="122">
        <f>Расчёт.Окупаемости!E34</f>
        <v>43982</v>
      </c>
      <c r="F34" s="67">
        <f>Расчёт.Окупаемости!F34*(1+'Анализ чувствительности'!$C$8)-Расчёт.Окупаемости!F34</f>
        <v>-258784.54999999981</v>
      </c>
      <c r="G34" s="67">
        <f t="shared" si="0"/>
        <v>1375113.5833856086</v>
      </c>
      <c r="H34" s="67">
        <f>Расчёт.Окупаемости!H34*(1+чувОпр)-Расчёт.Окупаемости!H34</f>
        <v>-453600</v>
      </c>
      <c r="I34" s="67">
        <f>Расчёт.Окупаемости!I34*(1+чувОпр)-Расчёт.Окупаемости!I34</f>
        <v>-461565</v>
      </c>
      <c r="J34" s="67">
        <f>Расчёт.Окупаемости!$J34*(1+чувОпр)-Расчёт.Окупаемости!$J34</f>
        <v>-31080.999947727192</v>
      </c>
      <c r="K34" s="67">
        <f>Расчёт.Окупаемости!K34*(1+чувВП)-Расчёт.Окупаемости!K34</f>
        <v>2321359.5833333358</v>
      </c>
      <c r="L34" s="67">
        <f>SUM(F34:G34)+Расчёт.Окупаемости!M34</f>
        <v>10805289.424016897</v>
      </c>
      <c r="M34" s="67">
        <f t="shared" si="2"/>
        <v>13</v>
      </c>
      <c r="O34" s="58">
        <f t="shared" si="1"/>
        <v>-946245.99994772719</v>
      </c>
    </row>
    <row r="35" spans="2:15" x14ac:dyDescent="0.25">
      <c r="B35" s="67">
        <f>Расчёт.Окупаемости!B35</f>
        <v>28</v>
      </c>
      <c r="C35" s="67">
        <f>Расчёт.Окупаемости!C35</f>
        <v>6</v>
      </c>
      <c r="D35" s="67">
        <f>Расчёт.Окупаемости!D35</f>
        <v>2020</v>
      </c>
      <c r="E35" s="122">
        <f>Расчёт.Окупаемости!E35</f>
        <v>44012</v>
      </c>
      <c r="F35" s="67">
        <f>Расчёт.Окупаемости!F35*(1+'Анализ чувствительности'!$C$8)-Расчёт.Окупаемости!F35</f>
        <v>-258784.54999999981</v>
      </c>
      <c r="G35" s="67">
        <f t="shared" si="0"/>
        <v>1423759.5833856086</v>
      </c>
      <c r="H35" s="67">
        <f>Расчёт.Окупаемости!H35*(1+чувОпр)-Расчёт.Окупаемости!H35</f>
        <v>-470400</v>
      </c>
      <c r="I35" s="67">
        <f>Расчёт.Окупаемости!I35*(1+чувОпр)-Расчёт.Окупаемости!I35</f>
        <v>-479700</v>
      </c>
      <c r="J35" s="67">
        <f>Расчёт.Окупаемости!$J35*(1+чувОпр)-Расчёт.Окупаемости!$J35</f>
        <v>-31922.499947727192</v>
      </c>
      <c r="K35" s="67">
        <f>Расчёт.Окупаемости!K35*(1+чувВП)-Расчёт.Окупаемости!K35</f>
        <v>2405782.0833333358</v>
      </c>
      <c r="L35" s="67">
        <f>SUM(F35:G35)+Расчёт.Окупаемости!M35</f>
        <v>11351745.146239119</v>
      </c>
      <c r="M35" s="67">
        <f t="shared" si="2"/>
        <v>14</v>
      </c>
      <c r="O35" s="58">
        <f t="shared" si="1"/>
        <v>-982022.49994772719</v>
      </c>
    </row>
    <row r="36" spans="2:15" x14ac:dyDescent="0.25">
      <c r="B36" s="67">
        <f>Расчёт.Окупаемости!B36</f>
        <v>29</v>
      </c>
      <c r="C36" s="67">
        <f>Расчёт.Окупаемости!C36</f>
        <v>7</v>
      </c>
      <c r="D36" s="67">
        <f>Расчёт.Окупаемости!D36</f>
        <v>2020</v>
      </c>
      <c r="E36" s="122">
        <f>Расчёт.Окупаемости!E36</f>
        <v>44043</v>
      </c>
      <c r="F36" s="67">
        <f>Расчёт.Окупаемости!F36*(1+'Анализ чувствительности'!$C$8)-Расчёт.Окупаемости!F36</f>
        <v>-258784.54999999981</v>
      </c>
      <c r="G36" s="67">
        <f t="shared" si="0"/>
        <v>1472405.5833856086</v>
      </c>
      <c r="H36" s="67">
        <f>Расчёт.Окупаемости!H36*(1+чувОпр)-Расчёт.Окупаемости!H36</f>
        <v>-487200</v>
      </c>
      <c r="I36" s="67">
        <f>Расчёт.Окупаемости!I36*(1+чувОпр)-Расчёт.Окупаемости!I36</f>
        <v>-497835</v>
      </c>
      <c r="J36" s="67">
        <f>Расчёт.Окупаемости!$J36*(1+чувОпр)-Расчёт.Окупаемости!$J36</f>
        <v>-32763.999947727192</v>
      </c>
      <c r="K36" s="67">
        <f>Расчёт.Окупаемости!K36*(1+чувВП)-Расчёт.Окупаемости!K36</f>
        <v>2490204.5833333358</v>
      </c>
      <c r="L36" s="67">
        <f>SUM(F36:G36)+Расчёт.Окупаемости!M36</f>
        <v>11898200.868461344</v>
      </c>
      <c r="M36" s="67">
        <f t="shared" si="2"/>
        <v>15</v>
      </c>
      <c r="O36" s="58">
        <f t="shared" si="1"/>
        <v>-1017798.9999477272</v>
      </c>
    </row>
    <row r="37" spans="2:15" x14ac:dyDescent="0.25">
      <c r="B37" s="67">
        <f>Расчёт.Окупаемости!B37</f>
        <v>30</v>
      </c>
      <c r="C37" s="67">
        <f>Расчёт.Окупаемости!C37</f>
        <v>8</v>
      </c>
      <c r="D37" s="67">
        <f>Расчёт.Окупаемости!D37</f>
        <v>2020</v>
      </c>
      <c r="E37" s="122">
        <f>Расчёт.Окупаемости!E37</f>
        <v>44074</v>
      </c>
      <c r="F37" s="67">
        <f>Расчёт.Окупаемости!F37*(1+'Анализ чувствительности'!$C$8)-Расчёт.Окупаемости!F37</f>
        <v>-258784.54999999981</v>
      </c>
      <c r="G37" s="67">
        <f t="shared" si="0"/>
        <v>1521051.5833856086</v>
      </c>
      <c r="H37" s="67">
        <f>Расчёт.Окупаемости!H37*(1+чувОпр)-Расчёт.Окупаемости!H37</f>
        <v>-504000</v>
      </c>
      <c r="I37" s="67">
        <f>Расчёт.Окупаемости!I37*(1+чувОпр)-Расчёт.Окупаемости!I37</f>
        <v>-515970</v>
      </c>
      <c r="J37" s="67">
        <f>Расчёт.Окупаемости!$J37*(1+чувОпр)-Расчёт.Окупаемости!$J37</f>
        <v>-33605.499947727192</v>
      </c>
      <c r="K37" s="67">
        <f>Расчёт.Окупаемости!K37*(1+чувВП)-Расчёт.Окупаемости!K37</f>
        <v>2574627.0833333358</v>
      </c>
      <c r="L37" s="67">
        <f>SUM(F37:G37)+Расчёт.Окупаемости!M37</f>
        <v>12444656.590683566</v>
      </c>
      <c r="M37" s="67">
        <f t="shared" si="2"/>
        <v>16</v>
      </c>
      <c r="O37" s="58">
        <f t="shared" si="1"/>
        <v>-1053575.4999477272</v>
      </c>
    </row>
    <row r="38" spans="2:15" x14ac:dyDescent="0.25">
      <c r="B38" s="67">
        <f>Расчёт.Окупаемости!B38</f>
        <v>31</v>
      </c>
      <c r="C38" s="67">
        <f>Расчёт.Окупаемости!C38</f>
        <v>9</v>
      </c>
      <c r="D38" s="67">
        <f>Расчёт.Окупаемости!D38</f>
        <v>2020</v>
      </c>
      <c r="E38" s="122">
        <f>Расчёт.Окупаемости!E38</f>
        <v>44104</v>
      </c>
      <c r="F38" s="67">
        <f>Расчёт.Окупаемости!F38*(1+'Анализ чувствительности'!$C$8)-Расчёт.Окупаемости!F38</f>
        <v>-258784.54999999981</v>
      </c>
      <c r="G38" s="67">
        <f t="shared" si="0"/>
        <v>1569697.5833856086</v>
      </c>
      <c r="H38" s="67">
        <f>Расчёт.Окупаемости!H38*(1+чувОпр)-Расчёт.Окупаемости!H38</f>
        <v>-520800</v>
      </c>
      <c r="I38" s="67">
        <f>Расчёт.Окупаемости!I38*(1+чувОпр)-Расчёт.Окупаемости!I38</f>
        <v>-534105</v>
      </c>
      <c r="J38" s="67">
        <f>Расчёт.Окупаемости!$J38*(1+чувОпр)-Расчёт.Окупаемости!$J38</f>
        <v>-34446.999947727192</v>
      </c>
      <c r="K38" s="67">
        <f>Расчёт.Окупаемости!K38*(1+чувВП)-Расчёт.Окупаемости!K38</f>
        <v>2659049.5833333358</v>
      </c>
      <c r="L38" s="67">
        <f>SUM(F38:G38)+Расчёт.Окупаемости!M38</f>
        <v>12991112.312905788</v>
      </c>
      <c r="M38" s="67">
        <f t="shared" si="2"/>
        <v>17</v>
      </c>
      <c r="O38" s="58">
        <f t="shared" si="1"/>
        <v>-1089351.9999477272</v>
      </c>
    </row>
    <row r="39" spans="2:15" x14ac:dyDescent="0.25">
      <c r="B39" s="67">
        <f>Расчёт.Окупаемости!B39</f>
        <v>32</v>
      </c>
      <c r="C39" s="67">
        <f>Расчёт.Окупаемости!C39</f>
        <v>10</v>
      </c>
      <c r="D39" s="67">
        <f>Расчёт.Окупаемости!D39</f>
        <v>2020</v>
      </c>
      <c r="E39" s="122">
        <f>Расчёт.Окупаемости!E39</f>
        <v>44135</v>
      </c>
      <c r="F39" s="67">
        <f>Расчёт.Окупаемости!F39*(1+'Анализ чувствительности'!$C$8)-Расчёт.Окупаемости!F39</f>
        <v>-258784.54999999981</v>
      </c>
      <c r="G39" s="67">
        <f t="shared" si="0"/>
        <v>1644909.393543937</v>
      </c>
      <c r="H39" s="67">
        <f>Расчёт.Окупаемости!H39*(1+чувОпр)-Расчёт.Окупаемости!H39</f>
        <v>-537600</v>
      </c>
      <c r="I39" s="67">
        <f>Расчёт.Окупаемости!I39*(1+чувОпр)-Расчёт.Окупаемости!I39</f>
        <v>-552240</v>
      </c>
      <c r="J39" s="67">
        <f>Расчёт.Окупаемости!$J39*(1+чувОпр)-Расчёт.Окупаемости!$J39</f>
        <v>-36863.523122727172</v>
      </c>
      <c r="K39" s="67">
        <f>Расчёт.Окупаемости!K39*(1+чувВП)-Расчёт.Окупаемости!K39</f>
        <v>2771612.9166666642</v>
      </c>
      <c r="L39" s="67">
        <f>SUM(F39:G39)+Расчёт.Окупаемости!M39</f>
        <v>14074449.739453005</v>
      </c>
      <c r="M39" s="67">
        <f t="shared" si="2"/>
        <v>18</v>
      </c>
      <c r="O39" s="58">
        <f t="shared" si="1"/>
        <v>-1126703.5231227272</v>
      </c>
    </row>
    <row r="40" spans="2:15" x14ac:dyDescent="0.25">
      <c r="B40" s="67">
        <f>Расчёт.Окупаемости!B40</f>
        <v>33</v>
      </c>
      <c r="C40" s="67">
        <f>Расчёт.Окупаемости!C40</f>
        <v>11</v>
      </c>
      <c r="D40" s="67">
        <f>Расчёт.Окупаемости!D40</f>
        <v>2020</v>
      </c>
      <c r="E40" s="122">
        <f>Расчёт.Окупаемости!E40</f>
        <v>44165</v>
      </c>
      <c r="F40" s="67">
        <f>Расчёт.Окупаемости!F40*(1+'Анализ чувствительности'!$C$8)-Расчёт.Окупаемости!F40</f>
        <v>-258784.54999999981</v>
      </c>
      <c r="G40" s="67">
        <f t="shared" si="0"/>
        <v>1720121.2037022726</v>
      </c>
      <c r="H40" s="67">
        <f>Расчёт.Окупаемости!H40*(1+чувОпр)-Расчёт.Окупаемости!H40</f>
        <v>-554400</v>
      </c>
      <c r="I40" s="67">
        <f>Расчёт.Окупаемости!I40*(1+чувОпр)-Расчёт.Окупаемости!I40</f>
        <v>-570375</v>
      </c>
      <c r="J40" s="67">
        <f>Расчёт.Окупаемости!$J40*(1+чувОпр)-Расчёт.Окупаемости!$J40</f>
        <v>-39280.046297727386</v>
      </c>
      <c r="K40" s="67">
        <f>Расчёт.Окупаемости!K40*(1+чувВП)-Расчёт.Окупаемости!K40</f>
        <v>2884176.25</v>
      </c>
      <c r="L40" s="67">
        <f>SUM(F40:G40)+Расчёт.Окупаемости!M40</f>
        <v>15157787.166000223</v>
      </c>
      <c r="M40" s="67">
        <f t="shared" si="2"/>
        <v>19</v>
      </c>
      <c r="O40" s="58">
        <f t="shared" si="1"/>
        <v>-1164055.0462977274</v>
      </c>
    </row>
    <row r="41" spans="2:15" x14ac:dyDescent="0.25">
      <c r="B41" s="67">
        <f>Расчёт.Окупаемости!B41</f>
        <v>34</v>
      </c>
      <c r="C41" s="67">
        <f>Расчёт.Окупаемости!C41</f>
        <v>12</v>
      </c>
      <c r="D41" s="67">
        <f>Расчёт.Окупаемости!D41</f>
        <v>2020</v>
      </c>
      <c r="E41" s="122">
        <f>Расчёт.Окупаемости!E41</f>
        <v>44196</v>
      </c>
      <c r="F41" s="67">
        <f>Расчёт.Окупаемости!F41*(1+'Анализ чувствительности'!$C$8)-Расчёт.Окупаемости!F41</f>
        <v>-258784.54999999981</v>
      </c>
      <c r="G41" s="67">
        <f t="shared" si="0"/>
        <v>1795333.0138606085</v>
      </c>
      <c r="H41" s="67">
        <f>Расчёт.Окупаемости!H41*(1+чувОпр)-Расчёт.Окупаемости!H41</f>
        <v>-571200</v>
      </c>
      <c r="I41" s="67">
        <f>Расчёт.Окупаемости!I41*(1+чувОпр)-Расчёт.Окупаемости!I41</f>
        <v>-588510</v>
      </c>
      <c r="J41" s="67">
        <f>Расчёт.Окупаемости!$J41*(1+чувОпр)-Расчёт.Окупаемости!$J41</f>
        <v>-41696.569472727366</v>
      </c>
      <c r="K41" s="67">
        <f>Расчёт.Окупаемости!K41*(1+чувВП)-Расчёт.Окупаемости!K41</f>
        <v>2996739.5833333358</v>
      </c>
      <c r="L41" s="67">
        <f>SUM(F41:G41)+Расчёт.Окупаемости!M41</f>
        <v>16241124.592547446</v>
      </c>
      <c r="M41" s="67">
        <f t="shared" si="2"/>
        <v>20</v>
      </c>
      <c r="O41" s="58">
        <f t="shared" si="1"/>
        <v>-1201406.5694727274</v>
      </c>
    </row>
    <row r="42" spans="2:15" x14ac:dyDescent="0.25">
      <c r="B42" s="67">
        <f>Расчёт.Окупаемости!B42</f>
        <v>35</v>
      </c>
      <c r="C42" s="67">
        <f>Расчёт.Окупаемости!C42</f>
        <v>1</v>
      </c>
      <c r="D42" s="67">
        <f>Расчёт.Окупаемости!D42</f>
        <v>2021</v>
      </c>
      <c r="E42" s="122">
        <f>Расчёт.Окупаемости!E42</f>
        <v>44227</v>
      </c>
      <c r="F42" s="67">
        <f>Расчёт.Окупаемости!F42*(1+'Анализ чувствительности'!$C$8)-Расчёт.Окупаемости!F42</f>
        <v>-258784.54999999981</v>
      </c>
      <c r="G42" s="67">
        <f t="shared" si="0"/>
        <v>1870544.8240189368</v>
      </c>
      <c r="H42" s="67">
        <f>Расчёт.Окупаемости!H42*(1+чувОпр)-Расчёт.Окупаемости!H42</f>
        <v>-588000</v>
      </c>
      <c r="I42" s="67">
        <f>Расчёт.Окупаемости!I42*(1+чувОпр)-Расчёт.Окупаемости!I42</f>
        <v>-606645</v>
      </c>
      <c r="J42" s="67">
        <f>Расчёт.Окупаемости!$J42*(1+чувОпр)-Расчёт.Окупаемости!$J42</f>
        <v>-44113.092647727346</v>
      </c>
      <c r="K42" s="67">
        <f>Расчёт.Окупаемости!K42*(1+чувВП)-Расчёт.Окупаемости!K42</f>
        <v>3109302.9166666642</v>
      </c>
      <c r="L42" s="67">
        <f>SUM(F42:G42)+Расчёт.Окупаемости!M42</f>
        <v>17324462.019094657</v>
      </c>
      <c r="M42" s="67">
        <f t="shared" si="2"/>
        <v>21</v>
      </c>
      <c r="O42" s="58">
        <f t="shared" si="1"/>
        <v>-1238758.0926477273</v>
      </c>
    </row>
    <row r="43" spans="2:15" x14ac:dyDescent="0.25">
      <c r="B43" s="67">
        <f>Расчёт.Окупаемости!B43</f>
        <v>36</v>
      </c>
      <c r="C43" s="67">
        <f>Расчёт.Окупаемости!C43</f>
        <v>2</v>
      </c>
      <c r="D43" s="67">
        <f>Расчёт.Окупаемости!D43</f>
        <v>2021</v>
      </c>
      <c r="E43" s="122">
        <f>Расчёт.Окупаемости!E43</f>
        <v>44255</v>
      </c>
      <c r="F43" s="67">
        <f>Расчёт.Окупаемости!F43*(1+'Анализ чувствительности'!$C$8)-Расчёт.Окупаемости!F43</f>
        <v>-258784.54999999981</v>
      </c>
      <c r="G43" s="67">
        <f t="shared" si="0"/>
        <v>1945756.6341772801</v>
      </c>
      <c r="H43" s="67">
        <f>Расчёт.Окупаемости!H43*(1+чувОпр)-Расчёт.Окупаемости!H43</f>
        <v>-604800</v>
      </c>
      <c r="I43" s="67">
        <f>Расчёт.Окупаемости!I43*(1+чувОпр)-Расчёт.Окупаемости!I43</f>
        <v>-624780</v>
      </c>
      <c r="J43" s="67">
        <f>Расчёт.Окупаемости!$J43*(1+чувОпр)-Расчёт.Окупаемости!$J43</f>
        <v>-46529.615822727326</v>
      </c>
      <c r="K43" s="67">
        <f>Расчёт.Окупаемости!K43*(1+чувВП)-Расчёт.Окупаемости!K43</f>
        <v>3221866.2500000075</v>
      </c>
      <c r="L43" s="67">
        <f>SUM(F43:G43)+Расчёт.Окупаемости!M43</f>
        <v>18407799.44564189</v>
      </c>
      <c r="M43" s="67">
        <f t="shared" si="2"/>
        <v>22</v>
      </c>
      <c r="O43" s="58">
        <f t="shared" si="1"/>
        <v>-1276109.6158227273</v>
      </c>
    </row>
    <row r="44" spans="2:15" x14ac:dyDescent="0.25">
      <c r="B44" s="67">
        <f>Расчёт.Окупаемости!B44</f>
        <v>37</v>
      </c>
      <c r="C44" s="67">
        <f>Расчёт.Окупаемости!C44</f>
        <v>3</v>
      </c>
      <c r="D44" s="67">
        <f>Расчёт.Окупаемости!D44</f>
        <v>2021</v>
      </c>
      <c r="E44" s="122">
        <f>Расчёт.Окупаемости!E44</f>
        <v>44286</v>
      </c>
      <c r="F44" s="67">
        <f>Расчёт.Окупаемости!F44*(1+'Анализ чувствительности'!$C$8)-Расчёт.Окупаемости!F44</f>
        <v>-258784.54999999981</v>
      </c>
      <c r="G44" s="67">
        <f t="shared" si="0"/>
        <v>2020968.4443356011</v>
      </c>
      <c r="H44" s="67">
        <f>Расчёт.Окупаемости!H44*(1+чувОпр)-Расчёт.Окупаемости!H44</f>
        <v>-621600</v>
      </c>
      <c r="I44" s="67">
        <f>Расчёт.Окупаемости!I44*(1+чувОпр)-Расчёт.Окупаемости!I44</f>
        <v>-642915</v>
      </c>
      <c r="J44" s="67">
        <f>Расчёт.Окупаемости!$J44*(1+чувОпр)-Расчёт.Окупаемости!$J44</f>
        <v>-48946.138997727307</v>
      </c>
      <c r="K44" s="67">
        <f>Расчёт.Окупаемости!K44*(1+чувВП)-Расчёт.Окупаемости!K44</f>
        <v>3334429.5833333284</v>
      </c>
      <c r="L44" s="67">
        <f>SUM(F44:G44)+Расчёт.Окупаемости!M44</f>
        <v>19491136.872189093</v>
      </c>
      <c r="M44" s="67">
        <f t="shared" si="2"/>
        <v>23</v>
      </c>
      <c r="O44" s="58">
        <f t="shared" si="1"/>
        <v>-1313461.1389977273</v>
      </c>
    </row>
    <row r="45" spans="2:15" x14ac:dyDescent="0.25">
      <c r="B45" s="67">
        <f>Расчёт.Окупаемости!B45</f>
        <v>38</v>
      </c>
      <c r="C45" s="67">
        <f>Расчёт.Окупаемости!C45</f>
        <v>4</v>
      </c>
      <c r="D45" s="67">
        <f>Расчёт.Окупаемости!D45</f>
        <v>2021</v>
      </c>
      <c r="E45" s="122">
        <f>Расчёт.Окупаемости!E45</f>
        <v>44316</v>
      </c>
      <c r="F45" s="67">
        <f>Расчёт.Окупаемости!F45*(1+'Анализ чувствительности'!$C$8)-Расчёт.Окупаемости!F45</f>
        <v>-258784.54999999981</v>
      </c>
      <c r="G45" s="67">
        <f t="shared" si="0"/>
        <v>2096180.2544939443</v>
      </c>
      <c r="H45" s="67">
        <f>Расчёт.Окупаемости!H45*(1+чувОпр)-Расчёт.Окупаемости!H45</f>
        <v>-638400</v>
      </c>
      <c r="I45" s="67">
        <f>Расчёт.Окупаемости!I45*(1+чувОпр)-Расчёт.Окупаемости!I45</f>
        <v>-661050</v>
      </c>
      <c r="J45" s="67">
        <f>Расчёт.Окупаемости!$J45*(1+чувОпр)-Расчёт.Окупаемости!$J45</f>
        <v>-51362.662172727287</v>
      </c>
      <c r="K45" s="67">
        <f>Расчёт.Окупаемости!K45*(1+чувВП)-Расчёт.Окупаемости!K45</f>
        <v>3446992.9166666716</v>
      </c>
      <c r="L45" s="67">
        <f>SUM(F45:G45)+Расчёт.Окупаемости!M45</f>
        <v>20574474.298736338</v>
      </c>
      <c r="M45" s="67">
        <f t="shared" si="2"/>
        <v>24</v>
      </c>
      <c r="O45" s="58">
        <f t="shared" si="1"/>
        <v>-1350812.6621727273</v>
      </c>
    </row>
    <row r="46" spans="2:15" x14ac:dyDescent="0.25">
      <c r="B46" s="67">
        <f>Расчёт.Окупаемости!B46</f>
        <v>39</v>
      </c>
      <c r="C46" s="67">
        <f>Расчёт.Окупаемости!C46</f>
        <v>5</v>
      </c>
      <c r="D46" s="67">
        <f>Расчёт.Окупаемости!D46</f>
        <v>2021</v>
      </c>
      <c r="E46" s="122">
        <f>Расчёт.Окупаемости!E46</f>
        <v>44347</v>
      </c>
      <c r="F46" s="67">
        <f>Расчёт.Окупаемости!F46*(1+'Анализ чувствительности'!$C$8)-Расчёт.Окупаемости!F46</f>
        <v>-258784.54999999981</v>
      </c>
      <c r="G46" s="67">
        <f t="shared" si="0"/>
        <v>2144826.2544939443</v>
      </c>
      <c r="H46" s="67">
        <f>Расчёт.Окупаемости!H46*(1+чувОпр)-Расчёт.Окупаемости!H46</f>
        <v>-655200</v>
      </c>
      <c r="I46" s="67">
        <f>Расчёт.Окупаемости!I46*(1+чувОпр)-Расчёт.Окупаемости!I46</f>
        <v>-679185</v>
      </c>
      <c r="J46" s="67">
        <f>Расчёт.Окупаемости!$J46*(1+чувОпр)-Расчёт.Окупаемости!$J46</f>
        <v>-52204.162172727287</v>
      </c>
      <c r="K46" s="67">
        <f>Расчёт.Окупаемости!K46*(1+чувВП)-Расчёт.Окупаемости!K46</f>
        <v>3531415.4166666716</v>
      </c>
      <c r="L46" s="67">
        <f>SUM(F46:G46)+Расчёт.Окупаемости!M46</f>
        <v>21119020.298736338</v>
      </c>
      <c r="M46" s="67">
        <f t="shared" si="2"/>
        <v>25</v>
      </c>
      <c r="O46" s="58">
        <f t="shared" si="1"/>
        <v>-1386589.1621727273</v>
      </c>
    </row>
    <row r="47" spans="2:15" x14ac:dyDescent="0.25">
      <c r="B47" s="67">
        <f>Расчёт.Окупаемости!B47</f>
        <v>40</v>
      </c>
      <c r="C47" s="67">
        <f>Расчёт.Окупаемости!C47</f>
        <v>6</v>
      </c>
      <c r="D47" s="67">
        <f>Расчёт.Окупаемости!D47</f>
        <v>2021</v>
      </c>
      <c r="E47" s="122">
        <f>Расчёт.Окупаемости!E47</f>
        <v>44377</v>
      </c>
      <c r="F47" s="67">
        <f>Расчёт.Окупаемости!F47*(1+'Анализ чувствительности'!$C$8)-Расчёт.Окупаемости!F47</f>
        <v>-258784.54999999981</v>
      </c>
      <c r="G47" s="67">
        <f t="shared" si="0"/>
        <v>2193472.2544939443</v>
      </c>
      <c r="H47" s="67">
        <f>Расчёт.Окупаемости!H47*(1+чувОпр)-Расчёт.Окупаемости!H47</f>
        <v>-672000</v>
      </c>
      <c r="I47" s="67">
        <f>Расчёт.Окупаемости!I47*(1+чувОпр)-Расчёт.Окупаемости!I47</f>
        <v>-697320</v>
      </c>
      <c r="J47" s="67">
        <f>Расчёт.Окупаемости!$J47*(1+чувОпр)-Расчёт.Окупаемости!$J47</f>
        <v>-53045.662172727287</v>
      </c>
      <c r="K47" s="67">
        <f>Расчёт.Окупаемости!K47*(1+чувВП)-Расчёт.Окупаемости!K47</f>
        <v>3615837.9166666716</v>
      </c>
      <c r="L47" s="67">
        <f>SUM(F47:G47)+Расчёт.Окупаемости!M47</f>
        <v>21663566.298736338</v>
      </c>
      <c r="M47" s="67">
        <f t="shared" si="2"/>
        <v>26</v>
      </c>
      <c r="O47" s="58">
        <f t="shared" si="1"/>
        <v>-1422365.6621727273</v>
      </c>
    </row>
    <row r="48" spans="2:15" x14ac:dyDescent="0.25">
      <c r="B48" s="67">
        <f>Расчёт.Окупаемости!B48</f>
        <v>41</v>
      </c>
      <c r="C48" s="67">
        <f>Расчёт.Окупаемости!C48</f>
        <v>7</v>
      </c>
      <c r="D48" s="67">
        <f>Расчёт.Окупаемости!D48</f>
        <v>2021</v>
      </c>
      <c r="E48" s="122">
        <f>Расчёт.Окупаемости!E48</f>
        <v>44408</v>
      </c>
      <c r="F48" s="67">
        <f>Расчёт.Окупаемости!F48*(1+'Анализ чувствительности'!$C$8)-Расчёт.Окупаемости!F48</f>
        <v>-258784.54999999981</v>
      </c>
      <c r="G48" s="67">
        <f t="shared" si="0"/>
        <v>2242118.2544939443</v>
      </c>
      <c r="H48" s="67">
        <f>Расчёт.Окупаемости!H48*(1+чувОпр)-Расчёт.Окупаемости!H48</f>
        <v>-688800</v>
      </c>
      <c r="I48" s="67">
        <f>Расчёт.Окупаемости!I48*(1+чувОпр)-Расчёт.Окупаемости!I48</f>
        <v>-715455</v>
      </c>
      <c r="J48" s="67">
        <f>Расчёт.Окупаемости!$J48*(1+чувОпр)-Расчёт.Окупаемости!$J48</f>
        <v>-53887.162172727287</v>
      </c>
      <c r="K48" s="67">
        <f>Расчёт.Окупаемости!K48*(1+чувВП)-Расчёт.Окупаемости!K48</f>
        <v>3700260.4166666716</v>
      </c>
      <c r="L48" s="67">
        <f>SUM(F48:G48)+Расчёт.Окупаемости!M48</f>
        <v>22208112.298736338</v>
      </c>
      <c r="M48" s="67">
        <f t="shared" si="2"/>
        <v>27</v>
      </c>
      <c r="O48" s="58">
        <f t="shared" si="1"/>
        <v>-1458142.1621727273</v>
      </c>
    </row>
    <row r="49" spans="2:15" x14ac:dyDescent="0.25">
      <c r="B49" s="67">
        <f>Расчёт.Окупаемости!B49</f>
        <v>42</v>
      </c>
      <c r="C49" s="67">
        <f>Расчёт.Окупаемости!C49</f>
        <v>8</v>
      </c>
      <c r="D49" s="67">
        <f>Расчёт.Окупаемости!D49</f>
        <v>2021</v>
      </c>
      <c r="E49" s="122">
        <f>Расчёт.Окупаемости!E49</f>
        <v>44439</v>
      </c>
      <c r="F49" s="67">
        <f>Расчёт.Окупаемости!F49*(1+'Анализ чувствительности'!$C$8)-Расчёт.Окупаемости!F49</f>
        <v>-258784.54999999981</v>
      </c>
      <c r="G49" s="67">
        <f t="shared" si="0"/>
        <v>2290764.2544939443</v>
      </c>
      <c r="H49" s="67">
        <f>Расчёт.Окупаемости!H49*(1+чувОпр)-Расчёт.Окупаемости!H49</f>
        <v>-705600</v>
      </c>
      <c r="I49" s="67">
        <f>Расчёт.Окупаемости!I49*(1+чувОпр)-Расчёт.Окупаемости!I49</f>
        <v>-733590</v>
      </c>
      <c r="J49" s="67">
        <f>Расчёт.Окупаемости!$J49*(1+чувОпр)-Расчёт.Окупаемости!$J49</f>
        <v>-54728.662172727287</v>
      </c>
      <c r="K49" s="67">
        <f>Расчёт.Окупаемости!K49*(1+чувВП)-Расчёт.Окупаемости!K49</f>
        <v>3784682.9166666716</v>
      </c>
      <c r="L49" s="67">
        <f>SUM(F49:G49)+Расчёт.Окупаемости!M49</f>
        <v>22752658.298736338</v>
      </c>
      <c r="M49" s="67">
        <f t="shared" si="2"/>
        <v>28</v>
      </c>
      <c r="O49" s="58">
        <f t="shared" si="1"/>
        <v>-1493918.6621727273</v>
      </c>
    </row>
    <row r="50" spans="2:15" x14ac:dyDescent="0.25">
      <c r="B50" s="67">
        <f>Расчёт.Окупаемости!B50</f>
        <v>43</v>
      </c>
      <c r="C50" s="67">
        <f>Расчёт.Окупаемости!C50</f>
        <v>9</v>
      </c>
      <c r="D50" s="67">
        <f>Расчёт.Окупаемости!D50</f>
        <v>2021</v>
      </c>
      <c r="E50" s="122">
        <f>Расчёт.Окупаемости!E50</f>
        <v>44469</v>
      </c>
      <c r="F50" s="67">
        <f>Расчёт.Окупаемости!F50*(1+'Анализ чувствительности'!$C$8)-Расчёт.Окупаемости!F50</f>
        <v>-258784.54999999981</v>
      </c>
      <c r="G50" s="67">
        <f t="shared" si="0"/>
        <v>2339410.2544939443</v>
      </c>
      <c r="H50" s="67">
        <f>Расчёт.Окупаемости!H50*(1+чувОпр)-Расчёт.Окупаемости!H50</f>
        <v>-722400</v>
      </c>
      <c r="I50" s="67">
        <f>Расчёт.Окупаемости!I50*(1+чувОпр)-Расчёт.Окупаемости!I50</f>
        <v>-751725</v>
      </c>
      <c r="J50" s="67">
        <f>Расчёт.Окупаемости!$J50*(1+чувОпр)-Расчёт.Окупаемости!$J50</f>
        <v>-55570.162172727287</v>
      </c>
      <c r="K50" s="67">
        <f>Расчёт.Окупаемости!K50*(1+чувВП)-Расчёт.Окупаемости!K50</f>
        <v>3869105.4166666716</v>
      </c>
      <c r="L50" s="67">
        <f>SUM(F50:G50)+Расчёт.Окупаемости!M50</f>
        <v>23297204.298736338</v>
      </c>
      <c r="M50" s="67">
        <f t="shared" si="2"/>
        <v>29</v>
      </c>
      <c r="O50" s="58">
        <f t="shared" si="1"/>
        <v>-1529695.1621727273</v>
      </c>
    </row>
    <row r="51" spans="2:15" x14ac:dyDescent="0.25">
      <c r="B51" s="67">
        <f>Расчёт.Окупаемости!B51</f>
        <v>44</v>
      </c>
      <c r="C51" s="67">
        <f>Расчёт.Окупаемости!C51</f>
        <v>10</v>
      </c>
      <c r="D51" s="67">
        <f>Расчёт.Окупаемости!D51</f>
        <v>2021</v>
      </c>
      <c r="E51" s="122">
        <f>Расчёт.Окупаемости!E51</f>
        <v>44500</v>
      </c>
      <c r="F51" s="67">
        <f>Расчёт.Окупаемости!F51*(1+'Анализ чувствительности'!$C$8)-Расчёт.Окупаемости!F51</f>
        <v>-258784.54999999981</v>
      </c>
      <c r="G51" s="67">
        <f t="shared" si="0"/>
        <v>2414622.0646522725</v>
      </c>
      <c r="H51" s="67">
        <f>Расчёт.Окупаемости!H51*(1+чувОпр)-Расчёт.Окупаемости!H51</f>
        <v>-739200</v>
      </c>
      <c r="I51" s="67">
        <f>Расчёт.Окупаемости!I51*(1+чувОпр)-Расчёт.Окупаемости!I51</f>
        <v>-769860</v>
      </c>
      <c r="J51" s="67">
        <f>Расчёт.Окупаемости!$J51*(1+чувОпр)-Расчёт.Окупаемости!$J51</f>
        <v>-57986.685347727267</v>
      </c>
      <c r="K51" s="67">
        <f>Расчёт.Окупаемости!K51*(1+чувВП)-Расчёт.Окупаемости!K51</f>
        <v>3981668.75</v>
      </c>
      <c r="L51" s="67">
        <f>SUM(F51:G51)+Расчёт.Окупаемости!M51</f>
        <v>24378632.003061339</v>
      </c>
      <c r="M51" s="67">
        <f t="shared" si="2"/>
        <v>30</v>
      </c>
      <c r="O51" s="58">
        <f t="shared" si="1"/>
        <v>-1567046.6853477273</v>
      </c>
    </row>
    <row r="52" spans="2:15" x14ac:dyDescent="0.25">
      <c r="B52" s="67">
        <f>Расчёт.Окупаемости!B52</f>
        <v>45</v>
      </c>
      <c r="C52" s="67">
        <f>Расчёт.Окупаемости!C52</f>
        <v>11</v>
      </c>
      <c r="D52" s="67">
        <f>Расчёт.Окупаемости!D52</f>
        <v>2021</v>
      </c>
      <c r="E52" s="122">
        <f>Расчёт.Окупаемости!E52</f>
        <v>44530</v>
      </c>
      <c r="F52" s="67">
        <f>Расчёт.Окупаемости!F52*(1+'Анализ чувствительности'!$C$8)-Расчёт.Окупаемости!F52</f>
        <v>-258784.54999999981</v>
      </c>
      <c r="G52" s="67">
        <f t="shared" si="0"/>
        <v>2489833.8748106011</v>
      </c>
      <c r="H52" s="67">
        <f>Расчёт.Окупаемости!H52*(1+чувОпр)-Расчёт.Окупаемости!H52</f>
        <v>-756000</v>
      </c>
      <c r="I52" s="67">
        <f>Расчёт.Окупаемости!I52*(1+чувОпр)-Расчёт.Окупаемости!I52</f>
        <v>-787995</v>
      </c>
      <c r="J52" s="67">
        <f>Расчёт.Окупаемости!$J52*(1+чувОпр)-Расчёт.Окупаемости!$J52</f>
        <v>-60403.208522727247</v>
      </c>
      <c r="K52" s="67">
        <f>Расчёт.Окупаемости!K52*(1+чувВП)-Расчёт.Окупаемости!K52</f>
        <v>4094232.0833333284</v>
      </c>
      <c r="L52" s="67">
        <f>SUM(F52:G52)+Расчёт.Окупаемости!M52</f>
        <v>25460059.707386337</v>
      </c>
      <c r="M52" s="67">
        <f t="shared" si="2"/>
        <v>31</v>
      </c>
      <c r="O52" s="58">
        <f t="shared" si="1"/>
        <v>-1604398.2085227272</v>
      </c>
    </row>
    <row r="53" spans="2:15" x14ac:dyDescent="0.25">
      <c r="B53" s="67">
        <f>Расчёт.Окупаемости!B53</f>
        <v>46</v>
      </c>
      <c r="C53" s="67">
        <f>Расчёт.Окупаемости!C53</f>
        <v>12</v>
      </c>
      <c r="D53" s="67">
        <f>Расчёт.Окупаемости!D53</f>
        <v>2021</v>
      </c>
      <c r="E53" s="122">
        <f>Расчёт.Окупаемости!E53</f>
        <v>44561</v>
      </c>
      <c r="F53" s="67">
        <f>Расчёт.Окупаемости!F53*(1+'Анализ чувствительности'!$C$8)-Расчёт.Окупаемости!F53</f>
        <v>-258784.54999999981</v>
      </c>
      <c r="G53" s="67">
        <f t="shared" si="0"/>
        <v>2565045.6849689446</v>
      </c>
      <c r="H53" s="67">
        <f>Расчёт.Окупаемости!H53*(1+чувОпр)-Расчёт.Окупаемости!H53</f>
        <v>-772800</v>
      </c>
      <c r="I53" s="67">
        <f>Расчёт.Окупаемости!I53*(1+чувОпр)-Расчёт.Окупаемости!I53</f>
        <v>-806130</v>
      </c>
      <c r="J53" s="67">
        <f>Расчёт.Окупаемости!$J53*(1+чувОпр)-Расчёт.Окупаемости!$J53</f>
        <v>-62819.731697727228</v>
      </c>
      <c r="K53" s="67">
        <f>Расчёт.Окупаемости!K53*(1+чувВП)-Расчёт.Окупаемости!K53</f>
        <v>4206795.4166666716</v>
      </c>
      <c r="L53" s="67">
        <f>SUM(F53:G53)+Расчёт.Окупаемости!M53</f>
        <v>26541487.41171135</v>
      </c>
      <c r="M53" s="67">
        <f t="shared" si="2"/>
        <v>32</v>
      </c>
      <c r="O53" s="58">
        <f t="shared" si="1"/>
        <v>-1641749.7316977272</v>
      </c>
    </row>
    <row r="54" spans="2:15" x14ac:dyDescent="0.25">
      <c r="B54" s="67">
        <f>Расчёт.Окупаемости!B54</f>
        <v>47</v>
      </c>
      <c r="C54" s="67">
        <f>Расчёт.Окупаемости!C54</f>
        <v>1</v>
      </c>
      <c r="D54" s="67">
        <f>Расчёт.Окупаемости!D54</f>
        <v>2022</v>
      </c>
      <c r="E54" s="122">
        <f>Расчёт.Окупаемости!E54</f>
        <v>44592</v>
      </c>
      <c r="F54" s="67">
        <f>Расчёт.Окупаемости!F54*(1+'Анализ чувствительности'!$C$8)-Расчёт.Окупаемости!F54</f>
        <v>-258784.54999999981</v>
      </c>
      <c r="G54" s="67">
        <f t="shared" si="0"/>
        <v>2640257.4951272728</v>
      </c>
      <c r="H54" s="67">
        <f>Расчёт.Окупаемости!H54*(1+чувОпр)-Расчёт.Окупаемости!H54</f>
        <v>-789600</v>
      </c>
      <c r="I54" s="67">
        <f>Расчёт.Окупаемости!I54*(1+чувОпр)-Расчёт.Окупаемости!I54</f>
        <v>-824265</v>
      </c>
      <c r="J54" s="67">
        <f>Расчёт.Окупаемости!$J54*(1+чувОпр)-Расчёт.Окупаемости!$J54</f>
        <v>-65236.254872727208</v>
      </c>
      <c r="K54" s="67">
        <f>Расчёт.Окупаемости!K54*(1+чувВП)-Расчёт.Окупаемости!K54</f>
        <v>4319358.75</v>
      </c>
      <c r="L54" s="67">
        <f>SUM(F54:G54)+Расчёт.Окупаемости!M54</f>
        <v>27622915.116036348</v>
      </c>
      <c r="M54" s="67">
        <f t="shared" si="2"/>
        <v>33</v>
      </c>
      <c r="O54" s="58">
        <f t="shared" si="1"/>
        <v>-1679101.2548727272</v>
      </c>
    </row>
    <row r="55" spans="2:15" x14ac:dyDescent="0.25">
      <c r="B55" s="67">
        <f>Расчёт.Окупаемости!B55</f>
        <v>48</v>
      </c>
      <c r="C55" s="67">
        <f>Расчёт.Окупаемости!C55</f>
        <v>2</v>
      </c>
      <c r="D55" s="67">
        <f>Расчёт.Окупаемости!D55</f>
        <v>2022</v>
      </c>
      <c r="E55" s="122">
        <f>Расчёт.Окупаемости!E55</f>
        <v>44620</v>
      </c>
      <c r="F55" s="67">
        <f>Расчёт.Окупаемости!F55*(1+'Анализ чувствительности'!$C$8)-Расчёт.Окупаемости!F55</f>
        <v>-258784.54999999981</v>
      </c>
      <c r="G55" s="67">
        <f t="shared" si="0"/>
        <v>2715469.3052856158</v>
      </c>
      <c r="H55" s="67">
        <f>Расчёт.Окупаемости!H55*(1+чувОпр)-Расчёт.Окупаемости!H55</f>
        <v>-806400</v>
      </c>
      <c r="I55" s="67">
        <f>Расчёт.Окупаемости!I55*(1+чувОпр)-Расчёт.Окупаемости!I55</f>
        <v>-842400</v>
      </c>
      <c r="J55" s="67">
        <f>Расчёт.Окупаемости!$J55*(1+чувОпр)-Расчёт.Окупаемости!$J55</f>
        <v>-67652.778047727421</v>
      </c>
      <c r="K55" s="67">
        <f>Расчёт.Окупаемости!K55*(1+чувВП)-Расчёт.Окупаемости!K55</f>
        <v>4431922.0833333433</v>
      </c>
      <c r="L55" s="67">
        <f>SUM(F55:G55)+Расчёт.Окупаемости!M55</f>
        <v>28704342.820361365</v>
      </c>
      <c r="M55" s="67">
        <f t="shared" si="2"/>
        <v>34</v>
      </c>
      <c r="O55" s="58">
        <f t="shared" si="1"/>
        <v>-1716452.7780477274</v>
      </c>
    </row>
    <row r="56" spans="2:15" x14ac:dyDescent="0.25">
      <c r="B56" s="67">
        <f>Расчёт.Окупаемости!B56</f>
        <v>49</v>
      </c>
      <c r="C56" s="67">
        <f>Расчёт.Окупаемости!C56</f>
        <v>3</v>
      </c>
      <c r="D56" s="67">
        <f>Расчёт.Окупаемости!D56</f>
        <v>2022</v>
      </c>
      <c r="E56" s="122">
        <f>Расчёт.Окупаемости!E56</f>
        <v>44651</v>
      </c>
      <c r="F56" s="67">
        <f>Расчёт.Окупаемости!F56*(1+'Анализ чувствительности'!$C$8)-Расчёт.Окупаемости!F56</f>
        <v>-258784.54999999981</v>
      </c>
      <c r="G56" s="67">
        <f t="shared" si="0"/>
        <v>2790681.1154439445</v>
      </c>
      <c r="H56" s="67">
        <f>Расчёт.Окупаемости!H56*(1+чувОпр)-Расчёт.Окупаемости!H56</f>
        <v>-823200</v>
      </c>
      <c r="I56" s="67">
        <f>Расчёт.Окупаемости!I56*(1+чувОпр)-Расчёт.Окупаемости!I56</f>
        <v>-860535</v>
      </c>
      <c r="J56" s="67">
        <f>Расчёт.Окупаемости!$J56*(1+чувОпр)-Расчёт.Окупаемости!$J56</f>
        <v>-70069.301222727168</v>
      </c>
      <c r="K56" s="67">
        <f>Расчёт.Окупаемости!K56*(1+чувВП)-Расчёт.Окупаемости!K56</f>
        <v>4544485.4166666716</v>
      </c>
      <c r="L56" s="67">
        <f>SUM(F56:G56)+Расчёт.Окупаемости!M56</f>
        <v>29785770.524686363</v>
      </c>
      <c r="M56" s="67">
        <f t="shared" si="2"/>
        <v>35</v>
      </c>
      <c r="O56" s="58">
        <f t="shared" si="1"/>
        <v>-1753804.3012227272</v>
      </c>
    </row>
    <row r="57" spans="2:15" x14ac:dyDescent="0.25">
      <c r="B57" s="67">
        <f>Расчёт.Окупаемости!B57</f>
        <v>50</v>
      </c>
      <c r="C57" s="67">
        <f>Расчёт.Окупаемости!C57</f>
        <v>4</v>
      </c>
      <c r="D57" s="67">
        <f>Расчёт.Окупаемости!D57</f>
        <v>2022</v>
      </c>
      <c r="E57" s="122">
        <f>Расчёт.Окупаемости!E57</f>
        <v>44681</v>
      </c>
      <c r="F57" s="67">
        <f>Расчёт.Окупаемости!F57*(1+'Анализ чувствительности'!$C$8)-Расчёт.Окупаемости!F57</f>
        <v>-258784.54999999981</v>
      </c>
      <c r="G57" s="67">
        <f t="shared" si="0"/>
        <v>2865892.9256022726</v>
      </c>
      <c r="H57" s="67">
        <f>Расчёт.Окупаемости!H57*(1+чувОпр)-Расчёт.Окупаемости!H57</f>
        <v>-840000</v>
      </c>
      <c r="I57" s="67">
        <f>Расчёт.Окупаемости!I57*(1+чувОпр)-Расчёт.Окупаемости!I57</f>
        <v>-878670</v>
      </c>
      <c r="J57" s="67">
        <f>Расчёт.Окупаемости!$J57*(1+чувОпр)-Расчёт.Окупаемости!$J57</f>
        <v>-72485.824397727381</v>
      </c>
      <c r="K57" s="67">
        <f>Расчёт.Окупаемости!K57*(1+чувВП)-Расчёт.Окупаемости!K57</f>
        <v>4657048.75</v>
      </c>
      <c r="L57" s="67">
        <f>SUM(F57:G57)+Расчёт.Окупаемости!M57</f>
        <v>30867198.229011361</v>
      </c>
      <c r="M57" s="67">
        <f t="shared" si="2"/>
        <v>36</v>
      </c>
      <c r="O57" s="58">
        <f t="shared" si="1"/>
        <v>-1791155.8243977274</v>
      </c>
    </row>
    <row r="58" spans="2:15" x14ac:dyDescent="0.25">
      <c r="B58" s="67">
        <f>Расчёт.Окупаемости!B58</f>
        <v>51</v>
      </c>
      <c r="C58" s="67">
        <f>Расчёт.Окупаемости!C58</f>
        <v>5</v>
      </c>
      <c r="D58" s="67">
        <f>Расчёт.Окупаемости!D58</f>
        <v>2022</v>
      </c>
      <c r="E58" s="122">
        <f>Расчёт.Окупаемости!E58</f>
        <v>44712</v>
      </c>
      <c r="F58" s="67">
        <f>Расчёт.Окупаемости!F58*(1+'Анализ чувствительности'!$C$8)-Расчёт.Окупаемости!F58</f>
        <v>-258784.54999999981</v>
      </c>
      <c r="G58" s="67">
        <f t="shared" si="0"/>
        <v>2914538.9256022726</v>
      </c>
      <c r="H58" s="67">
        <f>Расчёт.Окупаемости!H58*(1+чувОпр)-Расчёт.Окупаемости!H58</f>
        <v>-856800</v>
      </c>
      <c r="I58" s="67">
        <f>Расчёт.Окупаемости!I58*(1+чувОпр)-Расчёт.Окупаемости!I58</f>
        <v>-896805</v>
      </c>
      <c r="J58" s="67">
        <f>Расчёт.Окупаемости!$J58*(1+чувОпр)-Расчёт.Окупаемости!$J58</f>
        <v>-73327.324397727381</v>
      </c>
      <c r="K58" s="67">
        <f>Расчёт.Окупаемости!K58*(1+чувВП)-Расчёт.Окупаемости!K58</f>
        <v>4741471.25</v>
      </c>
      <c r="L58" s="67">
        <f>SUM(F58:G58)+Расчёт.Окупаемости!M58</f>
        <v>31411744.229011361</v>
      </c>
      <c r="M58" s="67">
        <f t="shared" si="2"/>
        <v>37</v>
      </c>
      <c r="O58" s="58">
        <f t="shared" si="1"/>
        <v>-1826932.3243977274</v>
      </c>
    </row>
    <row r="59" spans="2:15" x14ac:dyDescent="0.25">
      <c r="B59" s="67">
        <f>Расчёт.Окупаемости!B59</f>
        <v>52</v>
      </c>
      <c r="C59" s="67">
        <f>Расчёт.Окупаемости!C59</f>
        <v>6</v>
      </c>
      <c r="D59" s="67">
        <f>Расчёт.Окупаемости!D59</f>
        <v>2022</v>
      </c>
      <c r="E59" s="122">
        <f>Расчёт.Окупаемости!E59</f>
        <v>44742</v>
      </c>
      <c r="F59" s="67">
        <f>Расчёт.Окупаемости!F59*(1+'Анализ чувствительности'!$C$8)-Расчёт.Окупаемости!F59</f>
        <v>-258784.54999999981</v>
      </c>
      <c r="G59" s="67">
        <f t="shared" si="0"/>
        <v>2963184.9256022726</v>
      </c>
      <c r="H59" s="67">
        <f>Расчёт.Окупаемости!H59*(1+чувОпр)-Расчёт.Окупаемости!H59</f>
        <v>-873600</v>
      </c>
      <c r="I59" s="67">
        <f>Расчёт.Окупаемости!I59*(1+чувОпр)-Расчёт.Окупаемости!I59</f>
        <v>-914940</v>
      </c>
      <c r="J59" s="67">
        <f>Расчёт.Окупаемости!$J59*(1+чувОпр)-Расчёт.Окупаемости!$J59</f>
        <v>-74168.824397727381</v>
      </c>
      <c r="K59" s="67">
        <f>Расчёт.Окупаемости!K59*(1+чувВП)-Расчёт.Окупаемости!K59</f>
        <v>4825893.75</v>
      </c>
      <c r="L59" s="67">
        <f>SUM(F59:G59)+Расчёт.Окупаемости!M59</f>
        <v>31956290.229011361</v>
      </c>
      <c r="M59" s="67">
        <f t="shared" si="2"/>
        <v>38</v>
      </c>
      <c r="O59" s="58">
        <f t="shared" si="1"/>
        <v>-1862708.8243977274</v>
      </c>
    </row>
    <row r="60" spans="2:15" x14ac:dyDescent="0.25">
      <c r="B60" s="67">
        <f>Расчёт.Окупаемости!B60</f>
        <v>53</v>
      </c>
      <c r="C60" s="67">
        <f>Расчёт.Окупаемости!C60</f>
        <v>7</v>
      </c>
      <c r="D60" s="67">
        <f>Расчёт.Окупаемости!D60</f>
        <v>2022</v>
      </c>
      <c r="E60" s="122">
        <f>Расчёт.Окупаемости!E60</f>
        <v>44773</v>
      </c>
      <c r="F60" s="67">
        <f>Расчёт.Окупаемости!F60*(1+'Анализ чувствительности'!$C$8)-Расчёт.Окупаемости!F60</f>
        <v>-258784.54999999981</v>
      </c>
      <c r="G60" s="67">
        <f t="shared" si="0"/>
        <v>3011830.9256022726</v>
      </c>
      <c r="H60" s="67">
        <f>Расчёт.Окупаемости!H60*(1+чувОпр)-Расчёт.Окупаемости!H60</f>
        <v>-890400</v>
      </c>
      <c r="I60" s="67">
        <f>Расчёт.Окупаемости!I60*(1+чувОпр)-Расчёт.Окупаемости!I60</f>
        <v>-933075</v>
      </c>
      <c r="J60" s="67">
        <f>Расчёт.Окупаемости!$J60*(1+чувОпр)-Расчёт.Окупаемости!$J60</f>
        <v>-75010.324397727381</v>
      </c>
      <c r="K60" s="67">
        <f>Расчёт.Окупаемости!K60*(1+чувВП)-Расчёт.Окупаемости!K60</f>
        <v>4910316.25</v>
      </c>
      <c r="L60" s="67">
        <f>SUM(F60:G60)+Расчёт.Окупаемости!M60</f>
        <v>32500836.229011361</v>
      </c>
      <c r="M60" s="67">
        <f t="shared" si="2"/>
        <v>39</v>
      </c>
      <c r="O60" s="58">
        <f t="shared" si="1"/>
        <v>-1898485.3243977274</v>
      </c>
    </row>
    <row r="61" spans="2:15" x14ac:dyDescent="0.25">
      <c r="B61" s="67">
        <f>Расчёт.Окупаемости!B61</f>
        <v>54</v>
      </c>
      <c r="C61" s="67">
        <f>Расчёт.Окупаемости!C61</f>
        <v>8</v>
      </c>
      <c r="D61" s="67">
        <f>Расчёт.Окупаемости!D61</f>
        <v>2022</v>
      </c>
      <c r="E61" s="122">
        <f>Расчёт.Окупаемости!E61</f>
        <v>44804</v>
      </c>
      <c r="F61" s="67">
        <f>Расчёт.Окупаемости!F61*(1+'Анализ чувствительности'!$C$8)-Расчёт.Окупаемости!F61</f>
        <v>-258784.54999999981</v>
      </c>
      <c r="G61" s="67">
        <f t="shared" si="0"/>
        <v>3060476.9256022726</v>
      </c>
      <c r="H61" s="67">
        <f>Расчёт.Окупаемости!H61*(1+чувОпр)-Расчёт.Окупаемости!H61</f>
        <v>-907200</v>
      </c>
      <c r="I61" s="67">
        <f>Расчёт.Окупаемости!I61*(1+чувОпр)-Расчёт.Окупаемости!I61</f>
        <v>-951210</v>
      </c>
      <c r="J61" s="67">
        <f>Расчёт.Окупаемости!$J61*(1+чувОпр)-Расчёт.Окупаемости!$J61</f>
        <v>-75851.824397727381</v>
      </c>
      <c r="K61" s="67">
        <f>Расчёт.Окупаемости!K61*(1+чувВП)-Расчёт.Окупаемости!K61</f>
        <v>4994738.75</v>
      </c>
      <c r="L61" s="67">
        <f>SUM(F61:G61)+Расчёт.Окупаемости!M61</f>
        <v>33045382.229011361</v>
      </c>
      <c r="M61" s="67">
        <f t="shared" si="2"/>
        <v>40</v>
      </c>
      <c r="O61" s="58">
        <f t="shared" si="1"/>
        <v>-1934261.8243977274</v>
      </c>
    </row>
    <row r="62" spans="2:15" x14ac:dyDescent="0.25">
      <c r="B62" s="67">
        <f>Расчёт.Окупаемости!B62</f>
        <v>55</v>
      </c>
      <c r="C62" s="67">
        <f>Расчёт.Окупаемости!C62</f>
        <v>9</v>
      </c>
      <c r="D62" s="67">
        <f>Расчёт.Окупаемости!D62</f>
        <v>2022</v>
      </c>
      <c r="E62" s="122">
        <f>Расчёт.Окупаемости!E62</f>
        <v>44834</v>
      </c>
      <c r="F62" s="67">
        <f>Расчёт.Окупаемости!F62*(1+'Анализ чувствительности'!$C$8)-Расчёт.Окупаемости!F62</f>
        <v>-258784.54999999981</v>
      </c>
      <c r="G62" s="67">
        <f t="shared" si="0"/>
        <v>3109122.9256022726</v>
      </c>
      <c r="H62" s="67">
        <f>Расчёт.Окупаемости!H62*(1+чувОпр)-Расчёт.Окупаемости!H62</f>
        <v>-924000</v>
      </c>
      <c r="I62" s="67">
        <f>Расчёт.Окупаемости!I62*(1+чувОпр)-Расчёт.Окупаемости!I62</f>
        <v>-969345</v>
      </c>
      <c r="J62" s="67">
        <f>Расчёт.Окупаемости!$J62*(1+чувОпр)-Расчёт.Окупаемости!$J62</f>
        <v>-76693.324397727381</v>
      </c>
      <c r="K62" s="67">
        <f>Расчёт.Окупаемости!K62*(1+чувВП)-Расчёт.Окупаемости!K62</f>
        <v>5079161.25</v>
      </c>
      <c r="L62" s="67">
        <f>SUM(F62:G62)+Расчёт.Окупаемости!M62</f>
        <v>33589928.229011364</v>
      </c>
      <c r="M62" s="67">
        <f t="shared" si="2"/>
        <v>41</v>
      </c>
      <c r="O62" s="58">
        <f t="shared" si="1"/>
        <v>-1970038.3243977274</v>
      </c>
    </row>
    <row r="63" spans="2:15" x14ac:dyDescent="0.25">
      <c r="B63" s="67">
        <f>Расчёт.Окупаемости!B63</f>
        <v>56</v>
      </c>
      <c r="C63" s="67">
        <f>Расчёт.Окупаемости!C63</f>
        <v>10</v>
      </c>
      <c r="D63" s="67">
        <f>Расчёт.Окупаемости!D63</f>
        <v>2022</v>
      </c>
      <c r="E63" s="122">
        <f>Расчёт.Окупаемости!E63</f>
        <v>44865</v>
      </c>
      <c r="F63" s="67">
        <f>Расчёт.Окупаемости!F63*(1+'Анализ чувствительности'!$C$8)-Расчёт.Окупаемости!F63</f>
        <v>-258784.54999999981</v>
      </c>
      <c r="G63" s="67">
        <f t="shared" si="0"/>
        <v>3184334.7357606161</v>
      </c>
      <c r="H63" s="67">
        <f>Расчёт.Окупаемости!H63*(1+чувОпр)-Расчёт.Окупаемости!H63</f>
        <v>-940800</v>
      </c>
      <c r="I63" s="67">
        <f>Расчёт.Окупаемости!I63*(1+чувОпр)-Расчёт.Окупаемости!I63</f>
        <v>-987480</v>
      </c>
      <c r="J63" s="67">
        <f>Расчёт.Окупаемости!$J63*(1+чувОпр)-Расчёт.Окупаемости!$J63</f>
        <v>-79109.847572727129</v>
      </c>
      <c r="K63" s="67">
        <f>Расчёт.Окупаемости!K63*(1+чувВП)-Расчёт.Окупаемости!K63</f>
        <v>5191724.5833333433</v>
      </c>
      <c r="L63" s="67">
        <f>SUM(F63:G63)+Расчёт.Окупаемости!M63</f>
        <v>34671355.933336385</v>
      </c>
      <c r="M63" s="67">
        <f t="shared" si="2"/>
        <v>42</v>
      </c>
      <c r="O63" s="58">
        <f t="shared" si="1"/>
        <v>-2007389.8475727271</v>
      </c>
    </row>
    <row r="64" spans="2:15" x14ac:dyDescent="0.25">
      <c r="B64" s="67">
        <f>Расчёт.Окупаемости!B64</f>
        <v>57</v>
      </c>
      <c r="C64" s="67">
        <f>Расчёт.Окупаемости!C64</f>
        <v>11</v>
      </c>
      <c r="D64" s="67">
        <f>Расчёт.Окупаемости!D64</f>
        <v>2022</v>
      </c>
      <c r="E64" s="122">
        <f>Расчёт.Окупаемости!E64</f>
        <v>44895</v>
      </c>
      <c r="F64" s="67">
        <f>Расчёт.Окупаемости!F64*(1+'Анализ чувствительности'!$C$8)-Расчёт.Окупаемости!F64</f>
        <v>-258784.54999999981</v>
      </c>
      <c r="G64" s="67">
        <f t="shared" si="0"/>
        <v>3259546.5459189443</v>
      </c>
      <c r="H64" s="67">
        <f>Расчёт.Окупаемости!H64*(1+чувОпр)-Расчёт.Окупаемости!H64</f>
        <v>-957600</v>
      </c>
      <c r="I64" s="67">
        <f>Расчёт.Окупаемости!I64*(1+чувОпр)-Расчёт.Окупаемости!I64</f>
        <v>-1005615</v>
      </c>
      <c r="J64" s="67">
        <f>Расчёт.Окупаемости!$J64*(1+чувОпр)-Расчёт.Окупаемости!$J64</f>
        <v>-81526.370747727342</v>
      </c>
      <c r="K64" s="67">
        <f>Расчёт.Окупаемости!K64*(1+чувВП)-Расчёт.Окупаемости!K64</f>
        <v>5304287.9166666716</v>
      </c>
      <c r="L64" s="67">
        <f>SUM(F64:G64)+Расчёт.Окупаемости!M64</f>
        <v>35752783.637661383</v>
      </c>
      <c r="M64" s="67">
        <f t="shared" si="2"/>
        <v>43</v>
      </c>
      <c r="O64" s="58">
        <f t="shared" si="1"/>
        <v>-2044741.3707477273</v>
      </c>
    </row>
    <row r="65" spans="2:15" x14ac:dyDescent="0.25">
      <c r="B65" s="67">
        <f>Расчёт.Окупаемости!B65</f>
        <v>58</v>
      </c>
      <c r="C65" s="67">
        <f>Расчёт.Окупаемости!C65</f>
        <v>12</v>
      </c>
      <c r="D65" s="67">
        <f>Расчёт.Окупаемости!D65</f>
        <v>2022</v>
      </c>
      <c r="E65" s="122">
        <f>Расчёт.Окупаемости!E65</f>
        <v>44926</v>
      </c>
      <c r="F65" s="67">
        <f>Расчёт.Окупаемости!F65*(1+'Анализ чувствительности'!$C$8)-Расчёт.Окупаемости!F65</f>
        <v>-258784.54999999981</v>
      </c>
      <c r="G65" s="67">
        <f t="shared" si="0"/>
        <v>3334758.3560772729</v>
      </c>
      <c r="H65" s="67">
        <f>Расчёт.Окупаемости!H65*(1+чувОпр)-Расчёт.Окупаемости!H65</f>
        <v>-974400</v>
      </c>
      <c r="I65" s="67">
        <f>Расчёт.Окупаемости!I65*(1+чувОпр)-Расчёт.Окупаемости!I65</f>
        <v>-1023750</v>
      </c>
      <c r="J65" s="67">
        <f>Расчёт.Окупаемости!$J65*(1+чувОпр)-Расчёт.Окупаемости!$J65</f>
        <v>-83942.893922727089</v>
      </c>
      <c r="K65" s="67">
        <f>Расчёт.Окупаемости!K65*(1+чувВП)-Расчёт.Окупаемости!K65</f>
        <v>5416851.25</v>
      </c>
      <c r="L65" s="67">
        <f>SUM(F65:G65)+Расчёт.Окупаемости!M65</f>
        <v>36834211.341986373</v>
      </c>
      <c r="M65" s="67">
        <f t="shared" si="2"/>
        <v>44</v>
      </c>
      <c r="O65" s="58">
        <f t="shared" si="1"/>
        <v>-2082092.8939227271</v>
      </c>
    </row>
    <row r="66" spans="2:15" x14ac:dyDescent="0.25">
      <c r="B66" s="67">
        <f>Расчёт.Окупаемости!B66</f>
        <v>59</v>
      </c>
      <c r="C66" s="67">
        <f>Расчёт.Окупаемости!C66</f>
        <v>1</v>
      </c>
      <c r="D66" s="67">
        <f>Расчёт.Окупаемости!D66</f>
        <v>2023</v>
      </c>
      <c r="E66" s="122">
        <f>Расчёт.Окупаемости!E66</f>
        <v>44957</v>
      </c>
      <c r="F66" s="67">
        <f>Расчёт.Окупаемости!F66*(1+'Анализ чувствительности'!$C$8)-Расчёт.Окупаемости!F66</f>
        <v>-258784.54999999981</v>
      </c>
      <c r="G66" s="67">
        <f t="shared" si="0"/>
        <v>3409970.166235616</v>
      </c>
      <c r="H66" s="67">
        <f>Расчёт.Окупаемости!H66*(1+чувОпр)-Расчёт.Окупаемости!H66</f>
        <v>-991200</v>
      </c>
      <c r="I66" s="67">
        <f>Расчёт.Окупаемости!I66*(1+чувОпр)-Расчёт.Окупаемости!I66</f>
        <v>-1041885</v>
      </c>
      <c r="J66" s="67">
        <f>Расчёт.Окупаемости!$J66*(1+чувОпр)-Расчёт.Окупаемости!$J66</f>
        <v>-86359.417097727302</v>
      </c>
      <c r="K66" s="67">
        <f>Расчёт.Окупаемости!K66*(1+чувВП)-Расчёт.Окупаемости!K66</f>
        <v>5529414.5833333433</v>
      </c>
      <c r="L66" s="67">
        <f>SUM(F66:G66)+Расчёт.Окупаемости!M66</f>
        <v>37915639.046311393</v>
      </c>
      <c r="M66" s="67">
        <f t="shared" si="2"/>
        <v>45</v>
      </c>
      <c r="O66" s="58">
        <f t="shared" si="1"/>
        <v>-2119444.4170977273</v>
      </c>
    </row>
    <row r="67" spans="2:15" x14ac:dyDescent="0.25">
      <c r="B67" s="67">
        <f>Расчёт.Окупаемости!B67</f>
        <v>60</v>
      </c>
      <c r="C67" s="67">
        <f>Расчёт.Окупаемости!C67</f>
        <v>2</v>
      </c>
      <c r="D67" s="67">
        <f>Расчёт.Окупаемости!D67</f>
        <v>2023</v>
      </c>
      <c r="E67" s="122">
        <f>Расчёт.Окупаемости!E67</f>
        <v>44985</v>
      </c>
      <c r="F67" s="67">
        <f>Расчёт.Окупаемости!F67*(1+'Анализ чувствительности'!$C$8)-Расчёт.Окупаемости!F67</f>
        <v>-258784.54999999981</v>
      </c>
      <c r="G67" s="67">
        <f t="shared" si="0"/>
        <v>3485181.9763939441</v>
      </c>
      <c r="H67" s="67">
        <f>Расчёт.Окупаемости!H67*(1+чувОпр)-Расчёт.Окупаемости!H67</f>
        <v>-1008000</v>
      </c>
      <c r="I67" s="67">
        <f>Расчёт.Окупаемости!I67*(1+чувОпр)-Расчёт.Окупаемости!I67</f>
        <v>-1060020</v>
      </c>
      <c r="J67" s="67">
        <f>Расчёт.Окупаемости!$J67*(1+чувОпр)-Расчёт.Окупаемости!$J67</f>
        <v>-88775.940272727516</v>
      </c>
      <c r="K67" s="67">
        <f>Расчёт.Окупаемости!K67*(1+чувВП)-Расчёт.Окупаемости!K67</f>
        <v>5641977.9166666716</v>
      </c>
      <c r="L67" s="67">
        <f>SUM(F67:G67)+Расчёт.Окупаемости!M67</f>
        <v>38997066.750636399</v>
      </c>
      <c r="M67" s="67">
        <f t="shared" si="2"/>
        <v>46</v>
      </c>
      <c r="O67" s="58">
        <f t="shared" si="1"/>
        <v>-2156795.9402727275</v>
      </c>
    </row>
  </sheetData>
  <mergeCells count="2">
    <mergeCell ref="Q7:Q17"/>
    <mergeCell ref="B4:D4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B1:N130"/>
  <sheetViews>
    <sheetView topLeftCell="A37" workbookViewId="0">
      <selection activeCell="I8" sqref="I8:I71"/>
    </sheetView>
  </sheetViews>
  <sheetFormatPr defaultRowHeight="15" x14ac:dyDescent="0.25"/>
  <cols>
    <col min="1" max="1" width="9.140625" style="1"/>
    <col min="2" max="2" width="13.7109375" style="1" customWidth="1"/>
    <col min="3" max="3" width="9.140625" style="1"/>
    <col min="4" max="6" width="22.140625" style="1" bestFit="1" customWidth="1"/>
    <col min="7" max="7" width="52" style="1" bestFit="1" customWidth="1"/>
    <col min="8" max="8" width="31.42578125" style="1" customWidth="1"/>
    <col min="9" max="9" width="10" style="1" bestFit="1" customWidth="1"/>
    <col min="10" max="10" width="9.140625" style="1"/>
    <col min="11" max="11" width="17.28515625" style="1" bestFit="1" customWidth="1"/>
    <col min="12" max="12" width="23.28515625" style="1" bestFit="1" customWidth="1"/>
    <col min="13" max="13" width="29.140625" style="1" bestFit="1" customWidth="1"/>
    <col min="14" max="14" width="23.28515625" style="1" bestFit="1" customWidth="1"/>
    <col min="15" max="31" width="29.140625" style="1" bestFit="1" customWidth="1"/>
    <col min="32" max="32" width="28" style="1" bestFit="1" customWidth="1"/>
    <col min="33" max="33" width="34" style="1" bestFit="1" customWidth="1"/>
    <col min="34" max="34" width="28" style="1" bestFit="1" customWidth="1"/>
    <col min="35" max="16384" width="9.140625" style="1"/>
  </cols>
  <sheetData>
    <row r="1" spans="2:14" ht="21" x14ac:dyDescent="0.35">
      <c r="B1" s="43" t="s">
        <v>143</v>
      </c>
    </row>
    <row r="2" spans="2:14" ht="10.5" customHeight="1" x14ac:dyDescent="0.3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21" x14ac:dyDescent="0.35">
      <c r="B3" s="43"/>
    </row>
    <row r="4" spans="2:14" ht="15.75" thickBot="1" x14ac:dyDescent="0.3"/>
    <row r="5" spans="2:14" ht="15.75" thickTop="1" x14ac:dyDescent="0.25">
      <c r="B5" s="60" t="s">
        <v>76</v>
      </c>
      <c r="C5" s="60" t="s">
        <v>46</v>
      </c>
      <c r="D5" s="60" t="s">
        <v>236</v>
      </c>
      <c r="E5" s="60" t="s">
        <v>238</v>
      </c>
      <c r="F5" s="60" t="s">
        <v>239</v>
      </c>
      <c r="G5" s="156" t="s">
        <v>240</v>
      </c>
      <c r="H5" s="156" t="s">
        <v>34</v>
      </c>
      <c r="I5" s="60" t="s">
        <v>85</v>
      </c>
      <c r="K5" s="58" t="s">
        <v>139</v>
      </c>
      <c r="L5" s="58" t="s">
        <v>140</v>
      </c>
      <c r="M5" s="58" t="s">
        <v>141</v>
      </c>
      <c r="N5" s="58" t="s">
        <v>142</v>
      </c>
    </row>
    <row r="6" spans="2:14" x14ac:dyDescent="0.25">
      <c r="B6" s="59">
        <f>'План продаж'!B6</f>
        <v>0</v>
      </c>
      <c r="C6" s="59">
        <f>'План продаж'!D6</f>
        <v>2018</v>
      </c>
      <c r="D6" s="59">
        <f>SUMIFS('Постоянные затраты'!$H:$H,'Постоянные затраты'!$G:$G,"&lt;="&amp;$B6,'Постоянные затраты'!$D:$D,D$5)</f>
        <v>0</v>
      </c>
      <c r="E6" s="59">
        <f>SUMIFS('Постоянные затраты'!$H:$H,'Постоянные затраты'!$G:$G,"&lt;="&amp;$B6,'Постоянные затраты'!$D:$D,E$5)</f>
        <v>0</v>
      </c>
      <c r="F6" s="59">
        <f>SUMIFS('Постоянные затраты'!$H:$H,'Постоянные затраты'!$G:$G,"&lt;="&amp;$B6,'Постоянные затраты'!$D:$D,F$5)</f>
        <v>0</v>
      </c>
      <c r="G6" s="59">
        <f>SUMIFS('Постоянные затраты'!$H:$H,'Постоянные затраты'!$G:$G,"&lt;="&amp;$B6,'Постоянные затраты'!$D:$D,G$5)</f>
        <v>0</v>
      </c>
      <c r="H6" s="59">
        <f>SUMIFS('Постоянные затраты'!$H:$H,'Постоянные затраты'!$G:$G,"&lt;="&amp;$B6,'Постоянные затраты'!$D:$D,H$5)</f>
        <v>0</v>
      </c>
      <c r="I6" s="59">
        <f>SUM(D6:H6)</f>
        <v>0</v>
      </c>
      <c r="K6" s="61">
        <v>0</v>
      </c>
      <c r="L6" s="58">
        <v>0</v>
      </c>
      <c r="M6" s="58">
        <v>0</v>
      </c>
      <c r="N6" s="58">
        <v>0</v>
      </c>
    </row>
    <row r="7" spans="2:14" x14ac:dyDescent="0.25">
      <c r="B7" s="59">
        <f>'План продаж'!B7</f>
        <v>1</v>
      </c>
      <c r="C7" s="59">
        <f>'План продаж'!D7</f>
        <v>2018</v>
      </c>
      <c r="D7" s="59">
        <f>SUMIFS('Постоянные затраты'!$H:$H,'Постоянные затраты'!$G:$G,"&lt;="&amp;$B7,'Постоянные затраты'!$D:$D,D$5)</f>
        <v>0</v>
      </c>
      <c r="E7" s="59">
        <f>SUMIFS('Постоянные затраты'!$H:$H,'Постоянные затраты'!$G:$G,"&lt;="&amp;$B7,'Постоянные затраты'!$D:$D,E$5)</f>
        <v>0</v>
      </c>
      <c r="F7" s="59">
        <f>SUMIFS('Постоянные затраты'!$H:$H,'Постоянные затраты'!$G:$G,"&lt;="&amp;$B7,'Постоянные затраты'!$D:$D,F$5)</f>
        <v>0</v>
      </c>
      <c r="G7" s="59">
        <f>SUMIFS('Постоянные затраты'!$H:$H,'Постоянные затраты'!$G:$G,"&lt;="&amp;$B7,'Постоянные затраты'!$D:$D,G$5)</f>
        <v>0</v>
      </c>
      <c r="H7" s="59">
        <f>SUMIFS('Постоянные затраты'!$H:$H,'Постоянные затраты'!$G:$G,"&lt;="&amp;$B7,'Постоянные затраты'!$D:$D,H$5)</f>
        <v>560000</v>
      </c>
      <c r="I7" s="59">
        <f t="shared" ref="I7:I70" si="0">SUM(D7:H7)</f>
        <v>560000</v>
      </c>
      <c r="K7" s="61">
        <v>2017</v>
      </c>
      <c r="L7" s="58">
        <v>810000</v>
      </c>
      <c r="M7" s="58">
        <v>0</v>
      </c>
      <c r="N7" s="58">
        <v>0</v>
      </c>
    </row>
    <row r="8" spans="2:14" x14ac:dyDescent="0.25">
      <c r="B8" s="59">
        <f>'План продаж'!B8</f>
        <v>2</v>
      </c>
      <c r="C8" s="59">
        <f>'План продаж'!D8</f>
        <v>2018</v>
      </c>
      <c r="D8" s="59">
        <f>SUMIFS('Постоянные затраты'!$H:$H,'Постоянные затраты'!$G:$G,"&lt;="&amp;$B8,'Постоянные затраты'!$D:$D,D$5)</f>
        <v>0</v>
      </c>
      <c r="E8" s="59">
        <f>SUMIFS('Постоянные затраты'!$H:$H,'Постоянные затраты'!$G:$G,"&lt;="&amp;$B8,'Постоянные затраты'!$D:$D,E$5)</f>
        <v>0</v>
      </c>
      <c r="F8" s="59">
        <f>SUMIFS('Постоянные затраты'!$H:$H,'Постоянные затраты'!$G:$G,"&lt;="&amp;$B8,'Постоянные затраты'!$D:$D,F$5)</f>
        <v>0</v>
      </c>
      <c r="G8" s="59">
        <f>SUMIFS('Постоянные затраты'!$H:$H,'Постоянные затраты'!$G:$G,"&lt;="&amp;$B8,'Постоянные затраты'!$D:$D,G$5)</f>
        <v>0</v>
      </c>
      <c r="H8" s="59">
        <f>SUMIFS('Постоянные затраты'!$H:$H,'Постоянные затраты'!$G:$G,"&lt;="&amp;$B8,'Постоянные затраты'!$D:$D,H$5)</f>
        <v>560000</v>
      </c>
      <c r="I8" s="59">
        <f t="shared" si="0"/>
        <v>560000</v>
      </c>
      <c r="K8" s="61">
        <v>2018</v>
      </c>
      <c r="L8" s="58">
        <v>3240000</v>
      </c>
      <c r="M8" s="58">
        <v>1600000</v>
      </c>
      <c r="N8" s="58">
        <v>660000</v>
      </c>
    </row>
    <row r="9" spans="2:14" x14ac:dyDescent="0.25">
      <c r="B9" s="59">
        <f>'План продаж'!B9</f>
        <v>3</v>
      </c>
      <c r="C9" s="59">
        <f>'План продаж'!D9</f>
        <v>2018</v>
      </c>
      <c r="D9" s="59">
        <f>SUMIFS('Постоянные затраты'!$H:$H,'Постоянные затраты'!$G:$G,"&lt;="&amp;$B9,'Постоянные затраты'!$D:$D,D$5)</f>
        <v>0</v>
      </c>
      <c r="E9" s="59">
        <f>SUMIFS('Постоянные затраты'!$H:$H,'Постоянные затраты'!$G:$G,"&lt;="&amp;$B9,'Постоянные затраты'!$D:$D,E$5)</f>
        <v>0</v>
      </c>
      <c r="F9" s="59">
        <f>SUMIFS('Постоянные затраты'!$H:$H,'Постоянные затраты'!$G:$G,"&lt;="&amp;$B9,'Постоянные затраты'!$D:$D,F$5)</f>
        <v>0</v>
      </c>
      <c r="G9" s="59">
        <f>SUMIFS('Постоянные затраты'!$H:$H,'Постоянные затраты'!$G:$G,"&lt;="&amp;$B9,'Постоянные затраты'!$D:$D,G$5)</f>
        <v>0</v>
      </c>
      <c r="H9" s="59">
        <f>SUMIFS('Постоянные затраты'!$H:$H,'Постоянные затраты'!$G:$G,"&lt;="&amp;$B9,'Постоянные затраты'!$D:$D,H$5)</f>
        <v>560000</v>
      </c>
      <c r="I9" s="59">
        <f t="shared" si="0"/>
        <v>560000</v>
      </c>
      <c r="K9" s="61">
        <v>2019</v>
      </c>
      <c r="L9" s="58">
        <v>3240000</v>
      </c>
      <c r="M9" s="58">
        <v>3840000</v>
      </c>
      <c r="N9" s="58">
        <v>2640000</v>
      </c>
    </row>
    <row r="10" spans="2:14" x14ac:dyDescent="0.25">
      <c r="B10" s="59">
        <f>'План продаж'!B10</f>
        <v>4</v>
      </c>
      <c r="C10" s="59">
        <f>'План продаж'!D10</f>
        <v>2018</v>
      </c>
      <c r="D10" s="59">
        <f>SUMIFS('Постоянные затраты'!$H:$H,'Постоянные затраты'!$G:$G,"&lt;="&amp;$B10,'Постоянные затраты'!$D:$D,D$5)</f>
        <v>0</v>
      </c>
      <c r="E10" s="59">
        <f>SUMIFS('Постоянные затраты'!$H:$H,'Постоянные затраты'!$G:$G,"&lt;="&amp;$B10,'Постоянные затраты'!$D:$D,E$5)</f>
        <v>0</v>
      </c>
      <c r="F10" s="59">
        <f>SUMIFS('Постоянные затраты'!$H:$H,'Постоянные затраты'!$G:$G,"&lt;="&amp;$B10,'Постоянные затраты'!$D:$D,F$5)</f>
        <v>0</v>
      </c>
      <c r="G10" s="59">
        <f>SUMIFS('Постоянные затраты'!$H:$H,'Постоянные затраты'!$G:$G,"&lt;="&amp;$B10,'Постоянные затраты'!$D:$D,G$5)</f>
        <v>0</v>
      </c>
      <c r="H10" s="59">
        <f>SUMIFS('Постоянные затраты'!$H:$H,'Постоянные затраты'!$G:$G,"&lt;="&amp;$B10,'Постоянные затраты'!$D:$D,H$5)</f>
        <v>560000</v>
      </c>
      <c r="I10" s="59">
        <f t="shared" si="0"/>
        <v>560000</v>
      </c>
      <c r="K10" s="61">
        <v>2020</v>
      </c>
      <c r="L10" s="58">
        <v>3240000</v>
      </c>
      <c r="M10" s="58">
        <v>3840000</v>
      </c>
      <c r="N10" s="58">
        <v>2640000</v>
      </c>
    </row>
    <row r="11" spans="2:14" x14ac:dyDescent="0.25">
      <c r="B11" s="59">
        <f>'План продаж'!B11</f>
        <v>5</v>
      </c>
      <c r="C11" s="59">
        <f>'План продаж'!D11</f>
        <v>2018</v>
      </c>
      <c r="D11" s="59">
        <f>SUMIFS('Постоянные затраты'!$H:$H,'Постоянные затраты'!$G:$G,"&lt;="&amp;$B11,'Постоянные затраты'!$D:$D,D$5)</f>
        <v>0</v>
      </c>
      <c r="E11" s="59">
        <f>SUMIFS('Постоянные затраты'!$H:$H,'Постоянные затраты'!$G:$G,"&lt;="&amp;$B11,'Постоянные затраты'!$D:$D,E$5)</f>
        <v>0</v>
      </c>
      <c r="F11" s="59">
        <f>SUMIFS('Постоянные затраты'!$H:$H,'Постоянные затраты'!$G:$G,"&lt;="&amp;$B11,'Постоянные затраты'!$D:$D,F$5)</f>
        <v>0</v>
      </c>
      <c r="G11" s="59">
        <f>SUMIFS('Постоянные затраты'!$H:$H,'Постоянные затраты'!$G:$G,"&lt;="&amp;$B11,'Постоянные затраты'!$D:$D,G$5)</f>
        <v>0</v>
      </c>
      <c r="H11" s="59">
        <f>SUMIFS('Постоянные затраты'!$H:$H,'Постоянные затраты'!$G:$G,"&lt;="&amp;$B11,'Постоянные затраты'!$D:$D,H$5)</f>
        <v>560000</v>
      </c>
      <c r="I11" s="59">
        <f t="shared" si="0"/>
        <v>560000</v>
      </c>
      <c r="K11" s="61">
        <v>2021</v>
      </c>
      <c r="L11" s="58">
        <v>3240000</v>
      </c>
      <c r="M11" s="58">
        <v>3840000</v>
      </c>
      <c r="N11" s="58">
        <v>2640000</v>
      </c>
    </row>
    <row r="12" spans="2:14" x14ac:dyDescent="0.25">
      <c r="B12" s="59">
        <f>'План продаж'!B12</f>
        <v>6</v>
      </c>
      <c r="C12" s="59">
        <f>'План продаж'!D12</f>
        <v>2018</v>
      </c>
      <c r="D12" s="59">
        <f>SUMIFS('Постоянные затраты'!$H:$H,'Постоянные затраты'!$G:$G,"&lt;="&amp;$B12,'Постоянные затраты'!$D:$D,D$5)</f>
        <v>0</v>
      </c>
      <c r="E12" s="59">
        <f>SUMIFS('Постоянные затраты'!$H:$H,'Постоянные затраты'!$G:$G,"&lt;="&amp;$B12,'Постоянные затраты'!$D:$D,E$5)</f>
        <v>0</v>
      </c>
      <c r="F12" s="59">
        <f>SUMIFS('Постоянные затраты'!$H:$H,'Постоянные затраты'!$G:$G,"&lt;="&amp;$B12,'Постоянные затраты'!$D:$D,F$5)</f>
        <v>0</v>
      </c>
      <c r="G12" s="59">
        <f>SUMIFS('Постоянные затраты'!$H:$H,'Постоянные затраты'!$G:$G,"&lt;="&amp;$B12,'Постоянные затраты'!$D:$D,G$5)</f>
        <v>0</v>
      </c>
      <c r="H12" s="59">
        <f>SUMIFS('Постоянные затраты'!$H:$H,'Постоянные затраты'!$G:$G,"&lt;="&amp;$B12,'Постоянные затраты'!$D:$D,H$5)</f>
        <v>560000</v>
      </c>
      <c r="I12" s="59">
        <f t="shared" si="0"/>
        <v>560000</v>
      </c>
      <c r="K12" s="61">
        <v>2022</v>
      </c>
      <c r="L12" s="58">
        <v>2160000</v>
      </c>
      <c r="M12" s="58">
        <v>2560000</v>
      </c>
      <c r="N12" s="58">
        <v>1760000</v>
      </c>
    </row>
    <row r="13" spans="2:14" x14ac:dyDescent="0.25">
      <c r="B13" s="59">
        <f>'План продаж'!B13</f>
        <v>7</v>
      </c>
      <c r="C13" s="59">
        <f>'План продаж'!D13</f>
        <v>2018</v>
      </c>
      <c r="D13" s="59">
        <f>SUMIFS('Постоянные затраты'!$H:$H,'Постоянные затраты'!$G:$G,"&lt;="&amp;$B13,'Постоянные затраты'!$D:$D,D$5)</f>
        <v>0</v>
      </c>
      <c r="E13" s="59">
        <f>SUMIFS('Постоянные затраты'!$H:$H,'Постоянные затраты'!$G:$G,"&lt;="&amp;$B13,'Постоянные затраты'!$D:$D,E$5)</f>
        <v>0</v>
      </c>
      <c r="F13" s="59">
        <f>SUMIFS('Постоянные затраты'!$H:$H,'Постоянные затраты'!$G:$G,"&lt;="&amp;$B13,'Постоянные затраты'!$D:$D,F$5)</f>
        <v>0</v>
      </c>
      <c r="G13" s="59">
        <f>SUMIFS('Постоянные затраты'!$H:$H,'Постоянные затраты'!$G:$G,"&lt;="&amp;$B13,'Постоянные затраты'!$D:$D,G$5)</f>
        <v>0</v>
      </c>
      <c r="H13" s="59">
        <f>SUMIFS('Постоянные затраты'!$H:$H,'Постоянные затраты'!$G:$G,"&lt;="&amp;$B13,'Постоянные затраты'!$D:$D,H$5)</f>
        <v>560000</v>
      </c>
      <c r="I13" s="59">
        <f t="shared" si="0"/>
        <v>560000</v>
      </c>
      <c r="K13" s="61" t="s">
        <v>138</v>
      </c>
      <c r="L13" s="58">
        <v>15930000</v>
      </c>
      <c r="M13" s="58">
        <v>15680000</v>
      </c>
      <c r="N13" s="58">
        <v>10340000</v>
      </c>
    </row>
    <row r="14" spans="2:14" x14ac:dyDescent="0.25">
      <c r="B14" s="59">
        <f>'План продаж'!B14</f>
        <v>8</v>
      </c>
      <c r="C14" s="59">
        <f>'План продаж'!D14</f>
        <v>2018</v>
      </c>
      <c r="D14" s="59">
        <f>SUMIFS('Постоянные затраты'!$H:$H,'Постоянные затраты'!$G:$G,"&lt;="&amp;$B14,'Постоянные затраты'!$D:$D,D$5)</f>
        <v>0</v>
      </c>
      <c r="E14" s="59">
        <f>SUMIFS('Постоянные затраты'!$H:$H,'Постоянные затраты'!$G:$G,"&lt;="&amp;$B14,'Постоянные затраты'!$D:$D,E$5)</f>
        <v>0</v>
      </c>
      <c r="F14" s="59">
        <f>SUMIFS('Постоянные затраты'!$H:$H,'Постоянные затраты'!$G:$G,"&lt;="&amp;$B14,'Постоянные затраты'!$D:$D,F$5)</f>
        <v>0</v>
      </c>
      <c r="G14" s="59">
        <f>SUMIFS('Постоянные затраты'!$H:$H,'Постоянные затраты'!$G:$G,"&lt;="&amp;$B14,'Постоянные затраты'!$D:$D,G$5)</f>
        <v>0</v>
      </c>
      <c r="H14" s="59">
        <f>SUMIFS('Постоянные затраты'!$H:$H,'Постоянные затраты'!$G:$G,"&lt;="&amp;$B14,'Постоянные затраты'!$D:$D,H$5)</f>
        <v>560000</v>
      </c>
      <c r="I14" s="59">
        <f t="shared" si="0"/>
        <v>560000</v>
      </c>
    </row>
    <row r="15" spans="2:14" x14ac:dyDescent="0.25">
      <c r="B15" s="59">
        <f>'План продаж'!B15</f>
        <v>9</v>
      </c>
      <c r="C15" s="59">
        <f>'План продаж'!D15</f>
        <v>2018</v>
      </c>
      <c r="D15" s="59">
        <f>SUMIFS('Постоянные затраты'!$H:$H,'Постоянные затраты'!$G:$G,"&lt;="&amp;$B15,'Постоянные затраты'!$D:$D,D$5)</f>
        <v>0</v>
      </c>
      <c r="E15" s="59">
        <f>SUMIFS('Постоянные затраты'!$H:$H,'Постоянные затраты'!$G:$G,"&lt;="&amp;$B15,'Постоянные затраты'!$D:$D,E$5)</f>
        <v>0</v>
      </c>
      <c r="F15" s="59">
        <f>SUMIFS('Постоянные затраты'!$H:$H,'Постоянные затраты'!$G:$G,"&lt;="&amp;$B15,'Постоянные затраты'!$D:$D,F$5)</f>
        <v>0</v>
      </c>
      <c r="G15" s="59">
        <f>SUMIFS('Постоянные затраты'!$H:$H,'Постоянные затраты'!$G:$G,"&lt;="&amp;$B15,'Постоянные затраты'!$D:$D,G$5)</f>
        <v>0</v>
      </c>
      <c r="H15" s="59">
        <f>SUMIFS('Постоянные затраты'!$H:$H,'Постоянные затраты'!$G:$G,"&lt;="&amp;$B15,'Постоянные затраты'!$D:$D,H$5)</f>
        <v>560000</v>
      </c>
      <c r="I15" s="59">
        <f t="shared" si="0"/>
        <v>560000</v>
      </c>
    </row>
    <row r="16" spans="2:14" x14ac:dyDescent="0.25">
      <c r="B16" s="59">
        <f>'План продаж'!B16</f>
        <v>10</v>
      </c>
      <c r="C16" s="59">
        <f>'План продаж'!D16</f>
        <v>2018</v>
      </c>
      <c r="D16" s="59">
        <f>SUMIFS('Постоянные затраты'!$H:$H,'Постоянные затраты'!$G:$G,"&lt;="&amp;$B16,'Постоянные затраты'!$D:$D,D$5)</f>
        <v>0</v>
      </c>
      <c r="E16" s="59">
        <f>SUMIFS('Постоянные затраты'!$H:$H,'Постоянные затраты'!$G:$G,"&lt;="&amp;$B16,'Постоянные затраты'!$D:$D,E$5)</f>
        <v>0</v>
      </c>
      <c r="F16" s="59">
        <f>SUMIFS('Постоянные затраты'!$H:$H,'Постоянные затраты'!$G:$G,"&lt;="&amp;$B16,'Постоянные затраты'!$D:$D,F$5)</f>
        <v>0</v>
      </c>
      <c r="G16" s="59">
        <f>SUMIFS('Постоянные затраты'!$H:$H,'Постоянные затраты'!$G:$G,"&lt;="&amp;$B16,'Постоянные затраты'!$D:$D,G$5)</f>
        <v>0</v>
      </c>
      <c r="H16" s="59">
        <f>SUMIFS('Постоянные затраты'!$H:$H,'Постоянные затраты'!$G:$G,"&lt;="&amp;$B16,'Постоянные затраты'!$D:$D,H$5)</f>
        <v>560000</v>
      </c>
      <c r="I16" s="59">
        <f t="shared" si="0"/>
        <v>560000</v>
      </c>
    </row>
    <row r="17" spans="2:9" x14ac:dyDescent="0.25">
      <c r="B17" s="59">
        <f>'План продаж'!B17</f>
        <v>11</v>
      </c>
      <c r="C17" s="59">
        <f>'План продаж'!D17</f>
        <v>2019</v>
      </c>
      <c r="D17" s="59">
        <f>SUMIFS('Постоянные затраты'!$H:$H,'Постоянные затраты'!$G:$G,"&lt;="&amp;$B17,'Постоянные затраты'!$D:$D,D$5)</f>
        <v>0</v>
      </c>
      <c r="E17" s="59">
        <f>SUMIFS('Постоянные затраты'!$H:$H,'Постоянные затраты'!$G:$G,"&lt;="&amp;$B17,'Постоянные затраты'!$D:$D,E$5)</f>
        <v>0</v>
      </c>
      <c r="F17" s="59">
        <f>SUMIFS('Постоянные затраты'!$H:$H,'Постоянные затраты'!$G:$G,"&lt;="&amp;$B17,'Постоянные затраты'!$D:$D,F$5)</f>
        <v>0</v>
      </c>
      <c r="G17" s="59">
        <f>SUMIFS('Постоянные затраты'!$H:$H,'Постоянные затраты'!$G:$G,"&lt;="&amp;$B17,'Постоянные затраты'!$D:$D,G$5)</f>
        <v>0</v>
      </c>
      <c r="H17" s="59">
        <f>SUMIFS('Постоянные затраты'!$H:$H,'Постоянные затраты'!$G:$G,"&lt;="&amp;$B17,'Постоянные затраты'!$D:$D,H$5)</f>
        <v>560000</v>
      </c>
      <c r="I17" s="59">
        <f t="shared" si="0"/>
        <v>560000</v>
      </c>
    </row>
    <row r="18" spans="2:9" x14ac:dyDescent="0.25">
      <c r="B18" s="59">
        <f>'План продаж'!B18</f>
        <v>12</v>
      </c>
      <c r="C18" s="59">
        <f>'План продаж'!D18</f>
        <v>2019</v>
      </c>
      <c r="D18" s="59">
        <f>SUMIFS('Постоянные затраты'!$H:$H,'Постоянные затраты'!$G:$G,"&lt;="&amp;$B18,'Постоянные затраты'!$D:$D,D$5)</f>
        <v>0</v>
      </c>
      <c r="E18" s="59">
        <f>SUMIFS('Постоянные затраты'!$H:$H,'Постоянные затраты'!$G:$G,"&lt;="&amp;$B18,'Постоянные затраты'!$D:$D,E$5)</f>
        <v>0</v>
      </c>
      <c r="F18" s="59">
        <f>SUMIFS('Постоянные затраты'!$H:$H,'Постоянные затраты'!$G:$G,"&lt;="&amp;$B18,'Постоянные затраты'!$D:$D,F$5)</f>
        <v>0</v>
      </c>
      <c r="G18" s="59">
        <f>SUMIFS('Постоянные затраты'!$H:$H,'Постоянные затраты'!$G:$G,"&lt;="&amp;$B18,'Постоянные затраты'!$D:$D,G$5)</f>
        <v>0</v>
      </c>
      <c r="H18" s="59">
        <f>SUMIFS('Постоянные затраты'!$H:$H,'Постоянные затраты'!$G:$G,"&lt;="&amp;$B18,'Постоянные затраты'!$D:$D,H$5)</f>
        <v>560000</v>
      </c>
      <c r="I18" s="59">
        <f t="shared" si="0"/>
        <v>560000</v>
      </c>
    </row>
    <row r="19" spans="2:9" x14ac:dyDescent="0.25">
      <c r="B19" s="59">
        <f>'План продаж'!B19</f>
        <v>13</v>
      </c>
      <c r="C19" s="59">
        <f>'План продаж'!D19</f>
        <v>2019</v>
      </c>
      <c r="D19" s="59">
        <f>SUMIFS('Постоянные затраты'!$H:$H,'Постоянные затраты'!$G:$G,"&lt;="&amp;$B19,'Постоянные затраты'!$D:$D,D$5)</f>
        <v>0</v>
      </c>
      <c r="E19" s="59">
        <f>SUMIFS('Постоянные затраты'!$H:$H,'Постоянные затраты'!$G:$G,"&lt;="&amp;$B19,'Постоянные затраты'!$D:$D,E$5)</f>
        <v>0</v>
      </c>
      <c r="F19" s="59">
        <f>SUMIFS('Постоянные затраты'!$H:$H,'Постоянные затраты'!$G:$G,"&lt;="&amp;$B19,'Постоянные затраты'!$D:$D,F$5)</f>
        <v>0</v>
      </c>
      <c r="G19" s="59">
        <f>SUMIFS('Постоянные затраты'!$H:$H,'Постоянные затраты'!$G:$G,"&lt;="&amp;$B19,'Постоянные затраты'!$D:$D,G$5)</f>
        <v>0</v>
      </c>
      <c r="H19" s="59">
        <f>SUMIFS('Постоянные затраты'!$H:$H,'Постоянные затраты'!$G:$G,"&lt;="&amp;$B19,'Постоянные затраты'!$D:$D,H$5)</f>
        <v>560000</v>
      </c>
      <c r="I19" s="59">
        <f t="shared" si="0"/>
        <v>560000</v>
      </c>
    </row>
    <row r="20" spans="2:9" x14ac:dyDescent="0.25">
      <c r="B20" s="59">
        <f>'План продаж'!B20</f>
        <v>14</v>
      </c>
      <c r="C20" s="59">
        <f>'План продаж'!D20</f>
        <v>2019</v>
      </c>
      <c r="D20" s="59">
        <f>SUMIFS('Постоянные затраты'!$H:$H,'Постоянные затраты'!$G:$G,"&lt;="&amp;$B20,'Постоянные затраты'!$D:$D,D$5)</f>
        <v>0</v>
      </c>
      <c r="E20" s="59">
        <f>SUMIFS('Постоянные затраты'!$H:$H,'Постоянные затраты'!$G:$G,"&lt;="&amp;$B20,'Постоянные затраты'!$D:$D,E$5)</f>
        <v>0</v>
      </c>
      <c r="F20" s="59">
        <f>SUMIFS('Постоянные затраты'!$H:$H,'Постоянные затраты'!$G:$G,"&lt;="&amp;$B20,'Постоянные затраты'!$D:$D,F$5)</f>
        <v>0</v>
      </c>
      <c r="G20" s="59">
        <f>SUMIFS('Постоянные затраты'!$H:$H,'Постоянные затраты'!$G:$G,"&lt;="&amp;$B20,'Постоянные затраты'!$D:$D,G$5)</f>
        <v>0</v>
      </c>
      <c r="H20" s="59">
        <f>SUMIFS('Постоянные затраты'!$H:$H,'Постоянные затраты'!$G:$G,"&lt;="&amp;$B20,'Постоянные затраты'!$D:$D,H$5)</f>
        <v>560000</v>
      </c>
      <c r="I20" s="59">
        <f t="shared" si="0"/>
        <v>560000</v>
      </c>
    </row>
    <row r="21" spans="2:9" x14ac:dyDescent="0.25">
      <c r="B21" s="59">
        <f>'План продаж'!B21</f>
        <v>15</v>
      </c>
      <c r="C21" s="59">
        <f>'План продаж'!D21</f>
        <v>2019</v>
      </c>
      <c r="D21" s="59">
        <f>SUMIFS('Постоянные затраты'!$H:$H,'Постоянные затраты'!$G:$G,"&lt;="&amp;$B21,'Постоянные затраты'!$D:$D,D$5)</f>
        <v>0</v>
      </c>
      <c r="E21" s="59">
        <f>SUMIFS('Постоянные затраты'!$H:$H,'Постоянные затраты'!$G:$G,"&lt;="&amp;$B21,'Постоянные затраты'!$D:$D,E$5)</f>
        <v>0</v>
      </c>
      <c r="F21" s="59">
        <f>SUMIFS('Постоянные затраты'!$H:$H,'Постоянные затраты'!$G:$G,"&lt;="&amp;$B21,'Постоянные затраты'!$D:$D,F$5)</f>
        <v>0</v>
      </c>
      <c r="G21" s="59">
        <f>SUMIFS('Постоянные затраты'!$H:$H,'Постоянные затраты'!$G:$G,"&lt;="&amp;$B21,'Постоянные затраты'!$D:$D,G$5)</f>
        <v>0</v>
      </c>
      <c r="H21" s="59">
        <f>SUMIFS('Постоянные затраты'!$H:$H,'Постоянные затраты'!$G:$G,"&lt;="&amp;$B21,'Постоянные затраты'!$D:$D,H$5)</f>
        <v>560000</v>
      </c>
      <c r="I21" s="59">
        <f t="shared" si="0"/>
        <v>560000</v>
      </c>
    </row>
    <row r="22" spans="2:9" x14ac:dyDescent="0.25">
      <c r="B22" s="59">
        <f>'План продаж'!B22</f>
        <v>16</v>
      </c>
      <c r="C22" s="59">
        <f>'План продаж'!D22</f>
        <v>2019</v>
      </c>
      <c r="D22" s="59">
        <f>SUMIFS('Постоянные затраты'!$H:$H,'Постоянные затраты'!$G:$G,"&lt;="&amp;$B22,'Постоянные затраты'!$D:$D,D$5)</f>
        <v>0</v>
      </c>
      <c r="E22" s="59">
        <f>SUMIFS('Постоянные затраты'!$H:$H,'Постоянные затраты'!$G:$G,"&lt;="&amp;$B22,'Постоянные затраты'!$D:$D,E$5)</f>
        <v>0</v>
      </c>
      <c r="F22" s="59">
        <f>SUMIFS('Постоянные затраты'!$H:$H,'Постоянные затраты'!$G:$G,"&lt;="&amp;$B22,'Постоянные затраты'!$D:$D,F$5)</f>
        <v>0</v>
      </c>
      <c r="G22" s="59">
        <f>SUMIFS('Постоянные затраты'!$H:$H,'Постоянные затраты'!$G:$G,"&lt;="&amp;$B22,'Постоянные затраты'!$D:$D,G$5)</f>
        <v>0</v>
      </c>
      <c r="H22" s="59">
        <f>SUMIFS('Постоянные затраты'!$H:$H,'Постоянные затраты'!$G:$G,"&lt;="&amp;$B22,'Постоянные затраты'!$D:$D,H$5)</f>
        <v>560000</v>
      </c>
      <c r="I22" s="59">
        <f t="shared" si="0"/>
        <v>560000</v>
      </c>
    </row>
    <row r="23" spans="2:9" x14ac:dyDescent="0.25">
      <c r="B23" s="59">
        <f>'План продаж'!B23</f>
        <v>17</v>
      </c>
      <c r="C23" s="59">
        <f>'План продаж'!D23</f>
        <v>2019</v>
      </c>
      <c r="D23" s="59">
        <f>SUMIFS('Постоянные затраты'!$H:$H,'Постоянные затраты'!$G:$G,"&lt;="&amp;$B23,'Постоянные затраты'!$D:$D,D$5)</f>
        <v>0</v>
      </c>
      <c r="E23" s="59">
        <f>SUMIFS('Постоянные затраты'!$H:$H,'Постоянные затраты'!$G:$G,"&lt;="&amp;$B23,'Постоянные затраты'!$D:$D,E$5)</f>
        <v>0</v>
      </c>
      <c r="F23" s="59">
        <f>SUMIFS('Постоянные затраты'!$H:$H,'Постоянные затраты'!$G:$G,"&lt;="&amp;$B23,'Постоянные затраты'!$D:$D,F$5)</f>
        <v>0</v>
      </c>
      <c r="G23" s="59">
        <f>SUMIFS('Постоянные затраты'!$H:$H,'Постоянные затраты'!$G:$G,"&lt;="&amp;$B23,'Постоянные затраты'!$D:$D,G$5)</f>
        <v>0</v>
      </c>
      <c r="H23" s="59">
        <f>SUMIFS('Постоянные затраты'!$H:$H,'Постоянные затраты'!$G:$G,"&lt;="&amp;$B23,'Постоянные затраты'!$D:$D,H$5)</f>
        <v>560000</v>
      </c>
      <c r="I23" s="59">
        <f t="shared" si="0"/>
        <v>560000</v>
      </c>
    </row>
    <row r="24" spans="2:9" x14ac:dyDescent="0.25">
      <c r="B24" s="59">
        <f>'План продаж'!B24</f>
        <v>18</v>
      </c>
      <c r="C24" s="59">
        <f>'План продаж'!D24</f>
        <v>2019</v>
      </c>
      <c r="D24" s="59">
        <f>SUMIFS('Постоянные затраты'!$H:$H,'Постоянные затраты'!$G:$G,"&lt;="&amp;$B24,'Постоянные затраты'!$D:$D,D$5)</f>
        <v>0</v>
      </c>
      <c r="E24" s="59">
        <f>SUMIFS('Постоянные затраты'!$H:$H,'Постоянные затраты'!$G:$G,"&lt;="&amp;$B24,'Постоянные затраты'!$D:$D,E$5)</f>
        <v>0</v>
      </c>
      <c r="F24" s="59">
        <f>SUMIFS('Постоянные затраты'!$H:$H,'Постоянные затраты'!$G:$G,"&lt;="&amp;$B24,'Постоянные затраты'!$D:$D,F$5)</f>
        <v>0</v>
      </c>
      <c r="G24" s="59">
        <f>SUMIFS('Постоянные затраты'!$H:$H,'Постоянные затраты'!$G:$G,"&lt;="&amp;$B24,'Постоянные затраты'!$D:$D,G$5)</f>
        <v>0</v>
      </c>
      <c r="H24" s="59">
        <f>SUMIFS('Постоянные затраты'!$H:$H,'Постоянные затраты'!$G:$G,"&lt;="&amp;$B24,'Постоянные затраты'!$D:$D,H$5)</f>
        <v>560000</v>
      </c>
      <c r="I24" s="59">
        <f t="shared" si="0"/>
        <v>560000</v>
      </c>
    </row>
    <row r="25" spans="2:9" x14ac:dyDescent="0.25">
      <c r="B25" s="59">
        <f>'План продаж'!B25</f>
        <v>19</v>
      </c>
      <c r="C25" s="59">
        <f>'План продаж'!D25</f>
        <v>2019</v>
      </c>
      <c r="D25" s="59">
        <f>SUMIFS('Постоянные затраты'!$H:$H,'Постоянные затраты'!$G:$G,"&lt;="&amp;$B25,'Постоянные затраты'!$D:$D,D$5)</f>
        <v>0</v>
      </c>
      <c r="E25" s="59">
        <f>SUMIFS('Постоянные затраты'!$H:$H,'Постоянные затраты'!$G:$G,"&lt;="&amp;$B25,'Постоянные затраты'!$D:$D,E$5)</f>
        <v>0</v>
      </c>
      <c r="F25" s="59">
        <f>SUMIFS('Постоянные затраты'!$H:$H,'Постоянные затраты'!$G:$G,"&lt;="&amp;$B25,'Постоянные затраты'!$D:$D,F$5)</f>
        <v>0</v>
      </c>
      <c r="G25" s="59">
        <f>SUMIFS('Постоянные затраты'!$H:$H,'Постоянные затраты'!$G:$G,"&lt;="&amp;$B25,'Постоянные затраты'!$D:$D,G$5)</f>
        <v>0</v>
      </c>
      <c r="H25" s="59">
        <f>SUMIFS('Постоянные затраты'!$H:$H,'Постоянные затраты'!$G:$G,"&lt;="&amp;$B25,'Постоянные затраты'!$D:$D,H$5)</f>
        <v>560000</v>
      </c>
      <c r="I25" s="59">
        <f t="shared" si="0"/>
        <v>560000</v>
      </c>
    </row>
    <row r="26" spans="2:9" x14ac:dyDescent="0.25">
      <c r="B26" s="59">
        <f>'План продаж'!B26</f>
        <v>20</v>
      </c>
      <c r="C26" s="59">
        <f>'План продаж'!D26</f>
        <v>2019</v>
      </c>
      <c r="D26" s="59">
        <f>SUMIFS('Постоянные затраты'!$H:$H,'Постоянные затраты'!$G:$G,"&lt;="&amp;$B26,'Постоянные затраты'!$D:$D,D$5)</f>
        <v>0</v>
      </c>
      <c r="E26" s="59">
        <f>SUMIFS('Постоянные затраты'!$H:$H,'Постоянные затраты'!$G:$G,"&lt;="&amp;$B26,'Постоянные затраты'!$D:$D,E$5)</f>
        <v>0</v>
      </c>
      <c r="F26" s="59">
        <f>SUMIFS('Постоянные затраты'!$H:$H,'Постоянные затраты'!$G:$G,"&lt;="&amp;$B26,'Постоянные затраты'!$D:$D,F$5)</f>
        <v>0</v>
      </c>
      <c r="G26" s="59">
        <f>SUMIFS('Постоянные затраты'!$H:$H,'Постоянные затраты'!$G:$G,"&lt;="&amp;$B26,'Постоянные затраты'!$D:$D,G$5)</f>
        <v>0</v>
      </c>
      <c r="H26" s="59">
        <f>SUMIFS('Постоянные затраты'!$H:$H,'Постоянные затраты'!$G:$G,"&lt;="&amp;$B26,'Постоянные затраты'!$D:$D,H$5)</f>
        <v>560000</v>
      </c>
      <c r="I26" s="59">
        <f t="shared" si="0"/>
        <v>560000</v>
      </c>
    </row>
    <row r="27" spans="2:9" x14ac:dyDescent="0.25">
      <c r="B27" s="59">
        <f>'План продаж'!B27</f>
        <v>21</v>
      </c>
      <c r="C27" s="59">
        <f>'План продаж'!D27</f>
        <v>2019</v>
      </c>
      <c r="D27" s="59">
        <f>SUMIFS('Постоянные затраты'!$H:$H,'Постоянные затраты'!$G:$G,"&lt;="&amp;$B27,'Постоянные затраты'!$D:$D,D$5)</f>
        <v>0</v>
      </c>
      <c r="E27" s="59">
        <f>SUMIFS('Постоянные затраты'!$H:$H,'Постоянные затраты'!$G:$G,"&lt;="&amp;$B27,'Постоянные затраты'!$D:$D,E$5)</f>
        <v>0</v>
      </c>
      <c r="F27" s="59">
        <f>SUMIFS('Постоянные затраты'!$H:$H,'Постоянные затраты'!$G:$G,"&lt;="&amp;$B27,'Постоянные затраты'!$D:$D,F$5)</f>
        <v>0</v>
      </c>
      <c r="G27" s="59">
        <f>SUMIFS('Постоянные затраты'!$H:$H,'Постоянные затраты'!$G:$G,"&lt;="&amp;$B27,'Постоянные затраты'!$D:$D,G$5)</f>
        <v>0</v>
      </c>
      <c r="H27" s="59">
        <f>SUMIFS('Постоянные затраты'!$H:$H,'Постоянные затраты'!$G:$G,"&lt;="&amp;$B27,'Постоянные затраты'!$D:$D,H$5)</f>
        <v>560000</v>
      </c>
      <c r="I27" s="59">
        <f t="shared" si="0"/>
        <v>560000</v>
      </c>
    </row>
    <row r="28" spans="2:9" x14ac:dyDescent="0.25">
      <c r="B28" s="59">
        <f>'План продаж'!B28</f>
        <v>22</v>
      </c>
      <c r="C28" s="59">
        <f>'План продаж'!D28</f>
        <v>2019</v>
      </c>
      <c r="D28" s="59">
        <f>SUMIFS('Постоянные затраты'!$H:$H,'Постоянные затраты'!$G:$G,"&lt;="&amp;$B28,'Постоянные затраты'!$D:$D,D$5)</f>
        <v>0</v>
      </c>
      <c r="E28" s="59">
        <f>SUMIFS('Постоянные затраты'!$H:$H,'Постоянные затраты'!$G:$G,"&lt;="&amp;$B28,'Постоянные затраты'!$D:$D,E$5)</f>
        <v>0</v>
      </c>
      <c r="F28" s="59">
        <f>SUMIFS('Постоянные затраты'!$H:$H,'Постоянные затраты'!$G:$G,"&lt;="&amp;$B28,'Постоянные затраты'!$D:$D,F$5)</f>
        <v>0</v>
      </c>
      <c r="G28" s="59">
        <f>SUMIFS('Постоянные затраты'!$H:$H,'Постоянные затраты'!$G:$G,"&lt;="&amp;$B28,'Постоянные затраты'!$D:$D,G$5)</f>
        <v>0</v>
      </c>
      <c r="H28" s="59">
        <f>SUMIFS('Постоянные затраты'!$H:$H,'Постоянные затраты'!$G:$G,"&lt;="&amp;$B28,'Постоянные затраты'!$D:$D,H$5)</f>
        <v>560000</v>
      </c>
      <c r="I28" s="59">
        <f t="shared" si="0"/>
        <v>560000</v>
      </c>
    </row>
    <row r="29" spans="2:9" x14ac:dyDescent="0.25">
      <c r="B29" s="59">
        <f>'План продаж'!B29</f>
        <v>23</v>
      </c>
      <c r="C29" s="59">
        <f>'План продаж'!D29</f>
        <v>2020</v>
      </c>
      <c r="D29" s="59">
        <f>SUMIFS('Постоянные затраты'!$H:$H,'Постоянные затраты'!$G:$G,"&lt;="&amp;$B29,'Постоянные затраты'!$D:$D,D$5)</f>
        <v>0</v>
      </c>
      <c r="E29" s="59">
        <f>SUMIFS('Постоянные затраты'!$H:$H,'Постоянные затраты'!$G:$G,"&lt;="&amp;$B29,'Постоянные затраты'!$D:$D,E$5)</f>
        <v>0</v>
      </c>
      <c r="F29" s="59">
        <f>SUMIFS('Постоянные затраты'!$H:$H,'Постоянные затраты'!$G:$G,"&lt;="&amp;$B29,'Постоянные затраты'!$D:$D,F$5)</f>
        <v>0</v>
      </c>
      <c r="G29" s="59">
        <f>SUMIFS('Постоянные затраты'!$H:$H,'Постоянные затраты'!$G:$G,"&lt;="&amp;$B29,'Постоянные затраты'!$D:$D,G$5)</f>
        <v>0</v>
      </c>
      <c r="H29" s="59">
        <f>SUMIFS('Постоянные затраты'!$H:$H,'Постоянные затраты'!$G:$G,"&lt;="&amp;$B29,'Постоянные затраты'!$D:$D,H$5)</f>
        <v>560000</v>
      </c>
      <c r="I29" s="59">
        <f t="shared" si="0"/>
        <v>560000</v>
      </c>
    </row>
    <row r="30" spans="2:9" x14ac:dyDescent="0.25">
      <c r="B30" s="59">
        <f>'План продаж'!B30</f>
        <v>24</v>
      </c>
      <c r="C30" s="59">
        <f>'План продаж'!D30</f>
        <v>2020</v>
      </c>
      <c r="D30" s="59">
        <f>SUMIFS('Постоянные затраты'!$H:$H,'Постоянные затраты'!$G:$G,"&lt;="&amp;$B30,'Постоянные затраты'!$D:$D,D$5)</f>
        <v>0</v>
      </c>
      <c r="E30" s="59">
        <f>SUMIFS('Постоянные затраты'!$H:$H,'Постоянные затраты'!$G:$G,"&lt;="&amp;$B30,'Постоянные затраты'!$D:$D,E$5)</f>
        <v>0</v>
      </c>
      <c r="F30" s="59">
        <f>SUMIFS('Постоянные затраты'!$H:$H,'Постоянные затраты'!$G:$G,"&lt;="&amp;$B30,'Постоянные затраты'!$D:$D,F$5)</f>
        <v>0</v>
      </c>
      <c r="G30" s="59">
        <f>SUMIFS('Постоянные затраты'!$H:$H,'Постоянные затраты'!$G:$G,"&lt;="&amp;$B30,'Постоянные затраты'!$D:$D,G$5)</f>
        <v>0</v>
      </c>
      <c r="H30" s="59">
        <f>SUMIFS('Постоянные затраты'!$H:$H,'Постоянные затраты'!$G:$G,"&lt;="&amp;$B30,'Постоянные затраты'!$D:$D,H$5)</f>
        <v>560000</v>
      </c>
      <c r="I30" s="59">
        <f t="shared" si="0"/>
        <v>560000</v>
      </c>
    </row>
    <row r="31" spans="2:9" x14ac:dyDescent="0.25">
      <c r="B31" s="59">
        <f>'План продаж'!B31</f>
        <v>25</v>
      </c>
      <c r="C31" s="59">
        <f>'План продаж'!D31</f>
        <v>2020</v>
      </c>
      <c r="D31" s="59">
        <f>SUMIFS('Постоянные затраты'!$H:$H,'Постоянные затраты'!$G:$G,"&lt;="&amp;$B31,'Постоянные затраты'!$D:$D,D$5)</f>
        <v>0</v>
      </c>
      <c r="E31" s="59">
        <f>SUMIFS('Постоянные затраты'!$H:$H,'Постоянные затраты'!$G:$G,"&lt;="&amp;$B31,'Постоянные затраты'!$D:$D,E$5)</f>
        <v>0</v>
      </c>
      <c r="F31" s="59">
        <f>SUMIFS('Постоянные затраты'!$H:$H,'Постоянные затраты'!$G:$G,"&lt;="&amp;$B31,'Постоянные затраты'!$D:$D,F$5)</f>
        <v>0</v>
      </c>
      <c r="G31" s="59">
        <f>SUMIFS('Постоянные затраты'!$H:$H,'Постоянные затраты'!$G:$G,"&lt;="&amp;$B31,'Постоянные затраты'!$D:$D,G$5)</f>
        <v>0</v>
      </c>
      <c r="H31" s="59">
        <f>SUMIFS('Постоянные затраты'!$H:$H,'Постоянные затраты'!$G:$G,"&lt;="&amp;$B31,'Постоянные затраты'!$D:$D,H$5)</f>
        <v>560000</v>
      </c>
      <c r="I31" s="59">
        <f t="shared" si="0"/>
        <v>560000</v>
      </c>
    </row>
    <row r="32" spans="2:9" x14ac:dyDescent="0.25">
      <c r="B32" s="59">
        <f>'План продаж'!B32</f>
        <v>26</v>
      </c>
      <c r="C32" s="59">
        <f>'План продаж'!D32</f>
        <v>2020</v>
      </c>
      <c r="D32" s="59">
        <f>SUMIFS('Постоянные затраты'!$H:$H,'Постоянные затраты'!$G:$G,"&lt;="&amp;$B32,'Постоянные затраты'!$D:$D,D$5)</f>
        <v>0</v>
      </c>
      <c r="E32" s="59">
        <f>SUMIFS('Постоянные затраты'!$H:$H,'Постоянные затраты'!$G:$G,"&lt;="&amp;$B32,'Постоянные затраты'!$D:$D,E$5)</f>
        <v>0</v>
      </c>
      <c r="F32" s="59">
        <f>SUMIFS('Постоянные затраты'!$H:$H,'Постоянные затраты'!$G:$G,"&lt;="&amp;$B32,'Постоянные затраты'!$D:$D,F$5)</f>
        <v>0</v>
      </c>
      <c r="G32" s="59">
        <f>SUMIFS('Постоянные затраты'!$H:$H,'Постоянные затраты'!$G:$G,"&lt;="&amp;$B32,'Постоянные затраты'!$D:$D,G$5)</f>
        <v>0</v>
      </c>
      <c r="H32" s="59">
        <f>SUMIFS('Постоянные затраты'!$H:$H,'Постоянные затраты'!$G:$G,"&lt;="&amp;$B32,'Постоянные затраты'!$D:$D,H$5)</f>
        <v>560000</v>
      </c>
      <c r="I32" s="59">
        <f t="shared" si="0"/>
        <v>560000</v>
      </c>
    </row>
    <row r="33" spans="2:9" x14ac:dyDescent="0.25">
      <c r="B33" s="59">
        <f>'План продаж'!B33</f>
        <v>27</v>
      </c>
      <c r="C33" s="59">
        <f>'План продаж'!D33</f>
        <v>2020</v>
      </c>
      <c r="D33" s="59">
        <f>SUMIFS('Постоянные затраты'!$H:$H,'Постоянные затраты'!$G:$G,"&lt;="&amp;$B33,'Постоянные затраты'!$D:$D,D$5)</f>
        <v>0</v>
      </c>
      <c r="E33" s="59">
        <f>SUMIFS('Постоянные затраты'!$H:$H,'Постоянные затраты'!$G:$G,"&lt;="&amp;$B33,'Постоянные затраты'!$D:$D,E$5)</f>
        <v>0</v>
      </c>
      <c r="F33" s="59">
        <f>SUMIFS('Постоянные затраты'!$H:$H,'Постоянные затраты'!$G:$G,"&lt;="&amp;$B33,'Постоянные затраты'!$D:$D,F$5)</f>
        <v>0</v>
      </c>
      <c r="G33" s="59">
        <f>SUMIFS('Постоянные затраты'!$H:$H,'Постоянные затраты'!$G:$G,"&lt;="&amp;$B33,'Постоянные затраты'!$D:$D,G$5)</f>
        <v>0</v>
      </c>
      <c r="H33" s="59">
        <f>SUMIFS('Постоянные затраты'!$H:$H,'Постоянные затраты'!$G:$G,"&lt;="&amp;$B33,'Постоянные затраты'!$D:$D,H$5)</f>
        <v>560000</v>
      </c>
      <c r="I33" s="59">
        <f t="shared" si="0"/>
        <v>560000</v>
      </c>
    </row>
    <row r="34" spans="2:9" x14ac:dyDescent="0.25">
      <c r="B34" s="59">
        <f>'План продаж'!B34</f>
        <v>28</v>
      </c>
      <c r="C34" s="59">
        <f>'План продаж'!D34</f>
        <v>2020</v>
      </c>
      <c r="D34" s="59">
        <f>SUMIFS('Постоянные затраты'!$H:$H,'Постоянные затраты'!$G:$G,"&lt;="&amp;$B34,'Постоянные затраты'!$D:$D,D$5)</f>
        <v>0</v>
      </c>
      <c r="E34" s="59">
        <f>SUMIFS('Постоянные затраты'!$H:$H,'Постоянные затраты'!$G:$G,"&lt;="&amp;$B34,'Постоянные затраты'!$D:$D,E$5)</f>
        <v>0</v>
      </c>
      <c r="F34" s="59">
        <f>SUMIFS('Постоянные затраты'!$H:$H,'Постоянные затраты'!$G:$G,"&lt;="&amp;$B34,'Постоянные затраты'!$D:$D,F$5)</f>
        <v>0</v>
      </c>
      <c r="G34" s="59">
        <f>SUMIFS('Постоянные затраты'!$H:$H,'Постоянные затраты'!$G:$G,"&lt;="&amp;$B34,'Постоянные затраты'!$D:$D,G$5)</f>
        <v>0</v>
      </c>
      <c r="H34" s="59">
        <f>SUMIFS('Постоянные затраты'!$H:$H,'Постоянные затраты'!$G:$G,"&lt;="&amp;$B34,'Постоянные затраты'!$D:$D,H$5)</f>
        <v>560000</v>
      </c>
      <c r="I34" s="59">
        <f t="shared" si="0"/>
        <v>560000</v>
      </c>
    </row>
    <row r="35" spans="2:9" x14ac:dyDescent="0.25">
      <c r="B35" s="59">
        <f>'План продаж'!B35</f>
        <v>29</v>
      </c>
      <c r="C35" s="59">
        <f>'План продаж'!D35</f>
        <v>2020</v>
      </c>
      <c r="D35" s="59">
        <f>SUMIFS('Постоянные затраты'!$H:$H,'Постоянные затраты'!$G:$G,"&lt;="&amp;$B35,'Постоянные затраты'!$D:$D,D$5)</f>
        <v>0</v>
      </c>
      <c r="E35" s="59">
        <f>SUMIFS('Постоянные затраты'!$H:$H,'Постоянные затраты'!$G:$G,"&lt;="&amp;$B35,'Постоянные затраты'!$D:$D,E$5)</f>
        <v>0</v>
      </c>
      <c r="F35" s="59">
        <f>SUMIFS('Постоянные затраты'!$H:$H,'Постоянные затраты'!$G:$G,"&lt;="&amp;$B35,'Постоянные затраты'!$D:$D,F$5)</f>
        <v>0</v>
      </c>
      <c r="G35" s="59">
        <f>SUMIFS('Постоянные затраты'!$H:$H,'Постоянные затраты'!$G:$G,"&lt;="&amp;$B35,'Постоянные затраты'!$D:$D,G$5)</f>
        <v>0</v>
      </c>
      <c r="H35" s="59">
        <f>SUMIFS('Постоянные затраты'!$H:$H,'Постоянные затраты'!$G:$G,"&lt;="&amp;$B35,'Постоянные затраты'!$D:$D,H$5)</f>
        <v>560000</v>
      </c>
      <c r="I35" s="59">
        <f t="shared" si="0"/>
        <v>560000</v>
      </c>
    </row>
    <row r="36" spans="2:9" x14ac:dyDescent="0.25">
      <c r="B36" s="59">
        <f>'План продаж'!B36</f>
        <v>30</v>
      </c>
      <c r="C36" s="59">
        <f>'План продаж'!D36</f>
        <v>2020</v>
      </c>
      <c r="D36" s="59">
        <f>SUMIFS('Постоянные затраты'!$H:$H,'Постоянные затраты'!$G:$G,"&lt;="&amp;$B36,'Постоянные затраты'!$D:$D,D$5)</f>
        <v>0</v>
      </c>
      <c r="E36" s="59">
        <f>SUMIFS('Постоянные затраты'!$H:$H,'Постоянные затраты'!$G:$G,"&lt;="&amp;$B36,'Постоянные затраты'!$D:$D,E$5)</f>
        <v>0</v>
      </c>
      <c r="F36" s="59">
        <f>SUMIFS('Постоянные затраты'!$H:$H,'Постоянные затраты'!$G:$G,"&lt;="&amp;$B36,'Постоянные затраты'!$D:$D,F$5)</f>
        <v>0</v>
      </c>
      <c r="G36" s="59">
        <f>SUMIFS('Постоянные затраты'!$H:$H,'Постоянные затраты'!$G:$G,"&lt;="&amp;$B36,'Постоянные затраты'!$D:$D,G$5)</f>
        <v>0</v>
      </c>
      <c r="H36" s="59">
        <f>SUMIFS('Постоянные затраты'!$H:$H,'Постоянные затраты'!$G:$G,"&lt;="&amp;$B36,'Постоянные затраты'!$D:$D,H$5)</f>
        <v>560000</v>
      </c>
      <c r="I36" s="59">
        <f t="shared" si="0"/>
        <v>560000</v>
      </c>
    </row>
    <row r="37" spans="2:9" x14ac:dyDescent="0.25">
      <c r="B37" s="59">
        <f>'План продаж'!B37</f>
        <v>31</v>
      </c>
      <c r="C37" s="59">
        <f>'План продаж'!D37</f>
        <v>2020</v>
      </c>
      <c r="D37" s="59">
        <f>SUMIFS('Постоянные затраты'!$H:$H,'Постоянные затраты'!$G:$G,"&lt;="&amp;$B37,'Постоянные затраты'!$D:$D,D$5)</f>
        <v>0</v>
      </c>
      <c r="E37" s="59">
        <f>SUMIFS('Постоянные затраты'!$H:$H,'Постоянные затраты'!$G:$G,"&lt;="&amp;$B37,'Постоянные затраты'!$D:$D,E$5)</f>
        <v>0</v>
      </c>
      <c r="F37" s="59">
        <f>SUMIFS('Постоянные затраты'!$H:$H,'Постоянные затраты'!$G:$G,"&lt;="&amp;$B37,'Постоянные затраты'!$D:$D,F$5)</f>
        <v>0</v>
      </c>
      <c r="G37" s="59">
        <f>SUMIFS('Постоянные затраты'!$H:$H,'Постоянные затраты'!$G:$G,"&lt;="&amp;$B37,'Постоянные затраты'!$D:$D,G$5)</f>
        <v>0</v>
      </c>
      <c r="H37" s="59">
        <f>SUMIFS('Постоянные затраты'!$H:$H,'Постоянные затраты'!$G:$G,"&lt;="&amp;$B37,'Постоянные затраты'!$D:$D,H$5)</f>
        <v>560000</v>
      </c>
      <c r="I37" s="59">
        <f t="shared" si="0"/>
        <v>560000</v>
      </c>
    </row>
    <row r="38" spans="2:9" x14ac:dyDescent="0.25">
      <c r="B38" s="59">
        <f>'План продаж'!B38</f>
        <v>32</v>
      </c>
      <c r="C38" s="59">
        <f>'План продаж'!D38</f>
        <v>2020</v>
      </c>
      <c r="D38" s="59">
        <f>SUMIFS('Постоянные затраты'!$H:$H,'Постоянные затраты'!$G:$G,"&lt;="&amp;$B38,'Постоянные затраты'!$D:$D,D$5)</f>
        <v>0</v>
      </c>
      <c r="E38" s="59">
        <f>SUMIFS('Постоянные затраты'!$H:$H,'Постоянные затраты'!$G:$G,"&lt;="&amp;$B38,'Постоянные затраты'!$D:$D,E$5)</f>
        <v>0</v>
      </c>
      <c r="F38" s="59">
        <f>SUMIFS('Постоянные затраты'!$H:$H,'Постоянные затраты'!$G:$G,"&lt;="&amp;$B38,'Постоянные затраты'!$D:$D,F$5)</f>
        <v>0</v>
      </c>
      <c r="G38" s="59">
        <f>SUMIFS('Постоянные затраты'!$H:$H,'Постоянные затраты'!$G:$G,"&lt;="&amp;$B38,'Постоянные затраты'!$D:$D,G$5)</f>
        <v>0</v>
      </c>
      <c r="H38" s="59">
        <f>SUMIFS('Постоянные затраты'!$H:$H,'Постоянные затраты'!$G:$G,"&lt;="&amp;$B38,'Постоянные затраты'!$D:$D,H$5)</f>
        <v>560000</v>
      </c>
      <c r="I38" s="59">
        <f t="shared" si="0"/>
        <v>560000</v>
      </c>
    </row>
    <row r="39" spans="2:9" x14ac:dyDescent="0.25">
      <c r="B39" s="59">
        <f>'План продаж'!B39</f>
        <v>33</v>
      </c>
      <c r="C39" s="59">
        <f>'План продаж'!D39</f>
        <v>2020</v>
      </c>
      <c r="D39" s="59">
        <f>SUMIFS('Постоянные затраты'!$H:$H,'Постоянные затраты'!$G:$G,"&lt;="&amp;$B39,'Постоянные затраты'!$D:$D,D$5)</f>
        <v>0</v>
      </c>
      <c r="E39" s="59">
        <f>SUMIFS('Постоянные затраты'!$H:$H,'Постоянные затраты'!$G:$G,"&lt;="&amp;$B39,'Постоянные затраты'!$D:$D,E$5)</f>
        <v>0</v>
      </c>
      <c r="F39" s="59">
        <f>SUMIFS('Постоянные затраты'!$H:$H,'Постоянные затраты'!$G:$G,"&lt;="&amp;$B39,'Постоянные затраты'!$D:$D,F$5)</f>
        <v>0</v>
      </c>
      <c r="G39" s="59">
        <f>SUMIFS('Постоянные затраты'!$H:$H,'Постоянные затраты'!$G:$G,"&lt;="&amp;$B39,'Постоянные затраты'!$D:$D,G$5)</f>
        <v>0</v>
      </c>
      <c r="H39" s="59">
        <f>SUMIFS('Постоянные затраты'!$H:$H,'Постоянные затраты'!$G:$G,"&lt;="&amp;$B39,'Постоянные затраты'!$D:$D,H$5)</f>
        <v>560000</v>
      </c>
      <c r="I39" s="59">
        <f t="shared" si="0"/>
        <v>560000</v>
      </c>
    </row>
    <row r="40" spans="2:9" x14ac:dyDescent="0.25">
      <c r="B40" s="59">
        <f>'План продаж'!B40</f>
        <v>34</v>
      </c>
      <c r="C40" s="59">
        <f>'План продаж'!D40</f>
        <v>2020</v>
      </c>
      <c r="D40" s="59">
        <f>SUMIFS('Постоянные затраты'!$H:$H,'Постоянные затраты'!$G:$G,"&lt;="&amp;$B40,'Постоянные затраты'!$D:$D,D$5)</f>
        <v>0</v>
      </c>
      <c r="E40" s="59">
        <f>SUMIFS('Постоянные затраты'!$H:$H,'Постоянные затраты'!$G:$G,"&lt;="&amp;$B40,'Постоянные затраты'!$D:$D,E$5)</f>
        <v>0</v>
      </c>
      <c r="F40" s="59">
        <f>SUMIFS('Постоянные затраты'!$H:$H,'Постоянные затраты'!$G:$G,"&lt;="&amp;$B40,'Постоянные затраты'!$D:$D,F$5)</f>
        <v>0</v>
      </c>
      <c r="G40" s="59">
        <f>SUMIFS('Постоянные затраты'!$H:$H,'Постоянные затраты'!$G:$G,"&lt;="&amp;$B40,'Постоянные затраты'!$D:$D,G$5)</f>
        <v>0</v>
      </c>
      <c r="H40" s="59">
        <f>SUMIFS('Постоянные затраты'!$H:$H,'Постоянные затраты'!$G:$G,"&lt;="&amp;$B40,'Постоянные затраты'!$D:$D,H$5)</f>
        <v>560000</v>
      </c>
      <c r="I40" s="59">
        <f t="shared" si="0"/>
        <v>560000</v>
      </c>
    </row>
    <row r="41" spans="2:9" x14ac:dyDescent="0.25">
      <c r="B41" s="59">
        <f>'План продаж'!B41</f>
        <v>35</v>
      </c>
      <c r="C41" s="59">
        <f>'План продаж'!D41</f>
        <v>2021</v>
      </c>
      <c r="D41" s="59">
        <f>SUMIFS('Постоянные затраты'!$H:$H,'Постоянные затраты'!$G:$G,"&lt;="&amp;$B41,'Постоянные затраты'!$D:$D,D$5)</f>
        <v>0</v>
      </c>
      <c r="E41" s="59">
        <f>SUMIFS('Постоянные затраты'!$H:$H,'Постоянные затраты'!$G:$G,"&lt;="&amp;$B41,'Постоянные затраты'!$D:$D,E$5)</f>
        <v>0</v>
      </c>
      <c r="F41" s="59">
        <f>SUMIFS('Постоянные затраты'!$H:$H,'Постоянные затраты'!$G:$G,"&lt;="&amp;$B41,'Постоянные затраты'!$D:$D,F$5)</f>
        <v>0</v>
      </c>
      <c r="G41" s="59">
        <f>SUMIFS('Постоянные затраты'!$H:$H,'Постоянные затраты'!$G:$G,"&lt;="&amp;$B41,'Постоянные затраты'!$D:$D,G$5)</f>
        <v>0</v>
      </c>
      <c r="H41" s="59">
        <f>SUMIFS('Постоянные затраты'!$H:$H,'Постоянные затраты'!$G:$G,"&lt;="&amp;$B41,'Постоянные затраты'!$D:$D,H$5)</f>
        <v>560000</v>
      </c>
      <c r="I41" s="59">
        <f t="shared" si="0"/>
        <v>560000</v>
      </c>
    </row>
    <row r="42" spans="2:9" x14ac:dyDescent="0.25">
      <c r="B42" s="59">
        <f>'План продаж'!B42</f>
        <v>36</v>
      </c>
      <c r="C42" s="59">
        <f>'План продаж'!D42</f>
        <v>2021</v>
      </c>
      <c r="D42" s="59">
        <f>SUMIFS('Постоянные затраты'!$H:$H,'Постоянные затраты'!$G:$G,"&lt;="&amp;$B42,'Постоянные затраты'!$D:$D,D$5)</f>
        <v>0</v>
      </c>
      <c r="E42" s="59">
        <f>SUMIFS('Постоянные затраты'!$H:$H,'Постоянные затраты'!$G:$G,"&lt;="&amp;$B42,'Постоянные затраты'!$D:$D,E$5)</f>
        <v>0</v>
      </c>
      <c r="F42" s="59">
        <f>SUMIFS('Постоянные затраты'!$H:$H,'Постоянные затраты'!$G:$G,"&lt;="&amp;$B42,'Постоянные затраты'!$D:$D,F$5)</f>
        <v>0</v>
      </c>
      <c r="G42" s="59">
        <f>SUMIFS('Постоянные затраты'!$H:$H,'Постоянные затраты'!$G:$G,"&lt;="&amp;$B42,'Постоянные затраты'!$D:$D,G$5)</f>
        <v>0</v>
      </c>
      <c r="H42" s="59">
        <f>SUMIFS('Постоянные затраты'!$H:$H,'Постоянные затраты'!$G:$G,"&lt;="&amp;$B42,'Постоянные затраты'!$D:$D,H$5)</f>
        <v>560000</v>
      </c>
      <c r="I42" s="59">
        <f t="shared" si="0"/>
        <v>560000</v>
      </c>
    </row>
    <row r="43" spans="2:9" x14ac:dyDescent="0.25">
      <c r="B43" s="59">
        <f>'План продаж'!B43</f>
        <v>37</v>
      </c>
      <c r="C43" s="59">
        <f>'План продаж'!D43</f>
        <v>2021</v>
      </c>
      <c r="D43" s="59">
        <f>SUMIFS('Постоянные затраты'!$H:$H,'Постоянные затраты'!$G:$G,"&lt;="&amp;$B43,'Постоянные затраты'!$D:$D,D$5)</f>
        <v>0</v>
      </c>
      <c r="E43" s="59">
        <f>SUMIFS('Постоянные затраты'!$H:$H,'Постоянные затраты'!$G:$G,"&lt;="&amp;$B43,'Постоянные затраты'!$D:$D,E$5)</f>
        <v>0</v>
      </c>
      <c r="F43" s="59">
        <f>SUMIFS('Постоянные затраты'!$H:$H,'Постоянные затраты'!$G:$G,"&lt;="&amp;$B43,'Постоянные затраты'!$D:$D,F$5)</f>
        <v>0</v>
      </c>
      <c r="G43" s="59">
        <f>SUMIFS('Постоянные затраты'!$H:$H,'Постоянные затраты'!$G:$G,"&lt;="&amp;$B43,'Постоянные затраты'!$D:$D,G$5)</f>
        <v>0</v>
      </c>
      <c r="H43" s="59">
        <f>SUMIFS('Постоянные затраты'!$H:$H,'Постоянные затраты'!$G:$G,"&lt;="&amp;$B43,'Постоянные затраты'!$D:$D,H$5)</f>
        <v>560000</v>
      </c>
      <c r="I43" s="59">
        <f t="shared" si="0"/>
        <v>560000</v>
      </c>
    </row>
    <row r="44" spans="2:9" x14ac:dyDescent="0.25">
      <c r="B44" s="59">
        <f>'План продаж'!B44</f>
        <v>38</v>
      </c>
      <c r="C44" s="59">
        <f>'План продаж'!D44</f>
        <v>2021</v>
      </c>
      <c r="D44" s="59">
        <f>SUMIFS('Постоянные затраты'!$H:$H,'Постоянные затраты'!$G:$G,"&lt;="&amp;$B44,'Постоянные затраты'!$D:$D,D$5)</f>
        <v>0</v>
      </c>
      <c r="E44" s="59">
        <f>SUMIFS('Постоянные затраты'!$H:$H,'Постоянные затраты'!$G:$G,"&lt;="&amp;$B44,'Постоянные затраты'!$D:$D,E$5)</f>
        <v>0</v>
      </c>
      <c r="F44" s="59">
        <f>SUMIFS('Постоянные затраты'!$H:$H,'Постоянные затраты'!$G:$G,"&lt;="&amp;$B44,'Постоянные затраты'!$D:$D,F$5)</f>
        <v>0</v>
      </c>
      <c r="G44" s="59">
        <f>SUMIFS('Постоянные затраты'!$H:$H,'Постоянные затраты'!$G:$G,"&lt;="&amp;$B44,'Постоянные затраты'!$D:$D,G$5)</f>
        <v>0</v>
      </c>
      <c r="H44" s="59">
        <f>SUMIFS('Постоянные затраты'!$H:$H,'Постоянные затраты'!$G:$G,"&lt;="&amp;$B44,'Постоянные затраты'!$D:$D,H$5)</f>
        <v>560000</v>
      </c>
      <c r="I44" s="59">
        <f t="shared" si="0"/>
        <v>560000</v>
      </c>
    </row>
    <row r="45" spans="2:9" x14ac:dyDescent="0.25">
      <c r="B45" s="59">
        <f>'План продаж'!B45</f>
        <v>39</v>
      </c>
      <c r="C45" s="59">
        <f>'План продаж'!D45</f>
        <v>2021</v>
      </c>
      <c r="D45" s="59">
        <f>SUMIFS('Постоянные затраты'!$H:$H,'Постоянные затраты'!$G:$G,"&lt;="&amp;$B45,'Постоянные затраты'!$D:$D,D$5)</f>
        <v>0</v>
      </c>
      <c r="E45" s="59">
        <f>SUMIFS('Постоянные затраты'!$H:$H,'Постоянные затраты'!$G:$G,"&lt;="&amp;$B45,'Постоянные затраты'!$D:$D,E$5)</f>
        <v>0</v>
      </c>
      <c r="F45" s="59">
        <f>SUMIFS('Постоянные затраты'!$H:$H,'Постоянные затраты'!$G:$G,"&lt;="&amp;$B45,'Постоянные затраты'!$D:$D,F$5)</f>
        <v>0</v>
      </c>
      <c r="G45" s="59">
        <f>SUMIFS('Постоянные затраты'!$H:$H,'Постоянные затраты'!$G:$G,"&lt;="&amp;$B45,'Постоянные затраты'!$D:$D,G$5)</f>
        <v>0</v>
      </c>
      <c r="H45" s="59">
        <f>SUMIFS('Постоянные затраты'!$H:$H,'Постоянные затраты'!$G:$G,"&lt;="&amp;$B45,'Постоянные затраты'!$D:$D,H$5)</f>
        <v>560000</v>
      </c>
      <c r="I45" s="59">
        <f t="shared" si="0"/>
        <v>560000</v>
      </c>
    </row>
    <row r="46" spans="2:9" x14ac:dyDescent="0.25">
      <c r="B46" s="59">
        <f>'План продаж'!B46</f>
        <v>40</v>
      </c>
      <c r="C46" s="59">
        <f>'План продаж'!D46</f>
        <v>2021</v>
      </c>
      <c r="D46" s="59">
        <f>SUMIFS('Постоянные затраты'!$H:$H,'Постоянные затраты'!$G:$G,"&lt;="&amp;$B46,'Постоянные затраты'!$D:$D,D$5)</f>
        <v>0</v>
      </c>
      <c r="E46" s="59">
        <f>SUMIFS('Постоянные затраты'!$H:$H,'Постоянные затраты'!$G:$G,"&lt;="&amp;$B46,'Постоянные затраты'!$D:$D,E$5)</f>
        <v>0</v>
      </c>
      <c r="F46" s="59">
        <f>SUMIFS('Постоянные затраты'!$H:$H,'Постоянные затраты'!$G:$G,"&lt;="&amp;$B46,'Постоянные затраты'!$D:$D,F$5)</f>
        <v>0</v>
      </c>
      <c r="G46" s="59">
        <f>SUMIFS('Постоянные затраты'!$H:$H,'Постоянные затраты'!$G:$G,"&lt;="&amp;$B46,'Постоянные затраты'!$D:$D,G$5)</f>
        <v>0</v>
      </c>
      <c r="H46" s="59">
        <f>SUMIFS('Постоянные затраты'!$H:$H,'Постоянные затраты'!$G:$G,"&lt;="&amp;$B46,'Постоянные затраты'!$D:$D,H$5)</f>
        <v>560000</v>
      </c>
      <c r="I46" s="59">
        <f t="shared" si="0"/>
        <v>560000</v>
      </c>
    </row>
    <row r="47" spans="2:9" x14ac:dyDescent="0.25">
      <c r="B47" s="59">
        <f>'План продаж'!B47</f>
        <v>41</v>
      </c>
      <c r="C47" s="59">
        <f>'План продаж'!D47</f>
        <v>2021</v>
      </c>
      <c r="D47" s="59">
        <f>SUMIFS('Постоянные затраты'!$H:$H,'Постоянные затраты'!$G:$G,"&lt;="&amp;$B47,'Постоянные затраты'!$D:$D,D$5)</f>
        <v>0</v>
      </c>
      <c r="E47" s="59">
        <f>SUMIFS('Постоянные затраты'!$H:$H,'Постоянные затраты'!$G:$G,"&lt;="&amp;$B47,'Постоянные затраты'!$D:$D,E$5)</f>
        <v>0</v>
      </c>
      <c r="F47" s="59">
        <f>SUMIFS('Постоянные затраты'!$H:$H,'Постоянные затраты'!$G:$G,"&lt;="&amp;$B47,'Постоянные затраты'!$D:$D,F$5)</f>
        <v>0</v>
      </c>
      <c r="G47" s="59">
        <f>SUMIFS('Постоянные затраты'!$H:$H,'Постоянные затраты'!$G:$G,"&lt;="&amp;$B47,'Постоянные затраты'!$D:$D,G$5)</f>
        <v>0</v>
      </c>
      <c r="H47" s="59">
        <f>SUMIFS('Постоянные затраты'!$H:$H,'Постоянные затраты'!$G:$G,"&lt;="&amp;$B47,'Постоянные затраты'!$D:$D,H$5)</f>
        <v>560000</v>
      </c>
      <c r="I47" s="59">
        <f t="shared" si="0"/>
        <v>560000</v>
      </c>
    </row>
    <row r="48" spans="2:9" x14ac:dyDescent="0.25">
      <c r="B48" s="59">
        <f>'План продаж'!B48</f>
        <v>42</v>
      </c>
      <c r="C48" s="59">
        <f>'План продаж'!D48</f>
        <v>2021</v>
      </c>
      <c r="D48" s="59">
        <f>SUMIFS('Постоянные затраты'!$H:$H,'Постоянные затраты'!$G:$G,"&lt;="&amp;$B48,'Постоянные затраты'!$D:$D,D$5)</f>
        <v>0</v>
      </c>
      <c r="E48" s="59">
        <f>SUMIFS('Постоянные затраты'!$H:$H,'Постоянные затраты'!$G:$G,"&lt;="&amp;$B48,'Постоянные затраты'!$D:$D,E$5)</f>
        <v>0</v>
      </c>
      <c r="F48" s="59">
        <f>SUMIFS('Постоянные затраты'!$H:$H,'Постоянные затраты'!$G:$G,"&lt;="&amp;$B48,'Постоянные затраты'!$D:$D,F$5)</f>
        <v>0</v>
      </c>
      <c r="G48" s="59">
        <f>SUMIFS('Постоянные затраты'!$H:$H,'Постоянные затраты'!$G:$G,"&lt;="&amp;$B48,'Постоянные затраты'!$D:$D,G$5)</f>
        <v>0</v>
      </c>
      <c r="H48" s="59">
        <f>SUMIFS('Постоянные затраты'!$H:$H,'Постоянные затраты'!$G:$G,"&lt;="&amp;$B48,'Постоянные затраты'!$D:$D,H$5)</f>
        <v>560000</v>
      </c>
      <c r="I48" s="59">
        <f t="shared" si="0"/>
        <v>560000</v>
      </c>
    </row>
    <row r="49" spans="2:9" x14ac:dyDescent="0.25">
      <c r="B49" s="59">
        <f>'План продаж'!B49</f>
        <v>43</v>
      </c>
      <c r="C49" s="59">
        <f>'План продаж'!D49</f>
        <v>2021</v>
      </c>
      <c r="D49" s="59">
        <f>SUMIFS('Постоянные затраты'!$H:$H,'Постоянные затраты'!$G:$G,"&lt;="&amp;$B49,'Постоянные затраты'!$D:$D,D$5)</f>
        <v>0</v>
      </c>
      <c r="E49" s="59">
        <f>SUMIFS('Постоянные затраты'!$H:$H,'Постоянные затраты'!$G:$G,"&lt;="&amp;$B49,'Постоянные затраты'!$D:$D,E$5)</f>
        <v>0</v>
      </c>
      <c r="F49" s="59">
        <f>SUMIFS('Постоянные затраты'!$H:$H,'Постоянные затраты'!$G:$G,"&lt;="&amp;$B49,'Постоянные затраты'!$D:$D,F$5)</f>
        <v>0</v>
      </c>
      <c r="G49" s="59">
        <f>SUMIFS('Постоянные затраты'!$H:$H,'Постоянные затраты'!$G:$G,"&lt;="&amp;$B49,'Постоянные затраты'!$D:$D,G$5)</f>
        <v>0</v>
      </c>
      <c r="H49" s="59">
        <f>SUMIFS('Постоянные затраты'!$H:$H,'Постоянные затраты'!$G:$G,"&lt;="&amp;$B49,'Постоянные затраты'!$D:$D,H$5)</f>
        <v>560000</v>
      </c>
      <c r="I49" s="59">
        <f t="shared" si="0"/>
        <v>560000</v>
      </c>
    </row>
    <row r="50" spans="2:9" x14ac:dyDescent="0.25">
      <c r="B50" s="59">
        <f>'План продаж'!B50</f>
        <v>44</v>
      </c>
      <c r="C50" s="59">
        <f>'План продаж'!D50</f>
        <v>2021</v>
      </c>
      <c r="D50" s="59">
        <f>SUMIFS('Постоянные затраты'!$H:$H,'Постоянные затраты'!$G:$G,"&lt;="&amp;$B50,'Постоянные затраты'!$D:$D,D$5)</f>
        <v>0</v>
      </c>
      <c r="E50" s="59">
        <f>SUMIFS('Постоянные затраты'!$H:$H,'Постоянные затраты'!$G:$G,"&lt;="&amp;$B50,'Постоянные затраты'!$D:$D,E$5)</f>
        <v>0</v>
      </c>
      <c r="F50" s="59">
        <f>SUMIFS('Постоянные затраты'!$H:$H,'Постоянные затраты'!$G:$G,"&lt;="&amp;$B50,'Постоянные затраты'!$D:$D,F$5)</f>
        <v>0</v>
      </c>
      <c r="G50" s="59">
        <f>SUMIFS('Постоянные затраты'!$H:$H,'Постоянные затраты'!$G:$G,"&lt;="&amp;$B50,'Постоянные затраты'!$D:$D,G$5)</f>
        <v>0</v>
      </c>
      <c r="H50" s="59">
        <f>SUMIFS('Постоянные затраты'!$H:$H,'Постоянные затраты'!$G:$G,"&lt;="&amp;$B50,'Постоянные затраты'!$D:$D,H$5)</f>
        <v>560000</v>
      </c>
      <c r="I50" s="59">
        <f t="shared" si="0"/>
        <v>560000</v>
      </c>
    </row>
    <row r="51" spans="2:9" x14ac:dyDescent="0.25">
      <c r="B51" s="59">
        <f>'План продаж'!B51</f>
        <v>45</v>
      </c>
      <c r="C51" s="59">
        <f>'План продаж'!D51</f>
        <v>2021</v>
      </c>
      <c r="D51" s="59">
        <f>SUMIFS('Постоянные затраты'!$H:$H,'Постоянные затраты'!$G:$G,"&lt;="&amp;$B51,'Постоянные затраты'!$D:$D,D$5)</f>
        <v>0</v>
      </c>
      <c r="E51" s="59">
        <f>SUMIFS('Постоянные затраты'!$H:$H,'Постоянные затраты'!$G:$G,"&lt;="&amp;$B51,'Постоянные затраты'!$D:$D,E$5)</f>
        <v>0</v>
      </c>
      <c r="F51" s="59">
        <f>SUMIFS('Постоянные затраты'!$H:$H,'Постоянные затраты'!$G:$G,"&lt;="&amp;$B51,'Постоянные затраты'!$D:$D,F$5)</f>
        <v>0</v>
      </c>
      <c r="G51" s="59">
        <f>SUMIFS('Постоянные затраты'!$H:$H,'Постоянные затраты'!$G:$G,"&lt;="&amp;$B51,'Постоянные затраты'!$D:$D,G$5)</f>
        <v>0</v>
      </c>
      <c r="H51" s="59">
        <f>SUMIFS('Постоянные затраты'!$H:$H,'Постоянные затраты'!$G:$G,"&lt;="&amp;$B51,'Постоянные затраты'!$D:$D,H$5)</f>
        <v>560000</v>
      </c>
      <c r="I51" s="59">
        <f t="shared" si="0"/>
        <v>560000</v>
      </c>
    </row>
    <row r="52" spans="2:9" x14ac:dyDescent="0.25">
      <c r="B52" s="59">
        <f>'План продаж'!B52</f>
        <v>46</v>
      </c>
      <c r="C52" s="59">
        <f>'План продаж'!D52</f>
        <v>2021</v>
      </c>
      <c r="D52" s="59">
        <f>SUMIFS('Постоянные затраты'!$H:$H,'Постоянные затраты'!$G:$G,"&lt;="&amp;$B52,'Постоянные затраты'!$D:$D,D$5)</f>
        <v>0</v>
      </c>
      <c r="E52" s="59">
        <f>SUMIFS('Постоянные затраты'!$H:$H,'Постоянные затраты'!$G:$G,"&lt;="&amp;$B52,'Постоянные затраты'!$D:$D,E$5)</f>
        <v>0</v>
      </c>
      <c r="F52" s="59">
        <f>SUMIFS('Постоянные затраты'!$H:$H,'Постоянные затраты'!$G:$G,"&lt;="&amp;$B52,'Постоянные затраты'!$D:$D,F$5)</f>
        <v>0</v>
      </c>
      <c r="G52" s="59">
        <f>SUMIFS('Постоянные затраты'!$H:$H,'Постоянные затраты'!$G:$G,"&lt;="&amp;$B52,'Постоянные затраты'!$D:$D,G$5)</f>
        <v>0</v>
      </c>
      <c r="H52" s="59">
        <f>SUMIFS('Постоянные затраты'!$H:$H,'Постоянные затраты'!$G:$G,"&lt;="&amp;$B52,'Постоянные затраты'!$D:$D,H$5)</f>
        <v>560000</v>
      </c>
      <c r="I52" s="59">
        <f t="shared" si="0"/>
        <v>560000</v>
      </c>
    </row>
    <row r="53" spans="2:9" x14ac:dyDescent="0.25">
      <c r="B53" s="59">
        <f>'План продаж'!B53</f>
        <v>47</v>
      </c>
      <c r="C53" s="59">
        <f>'План продаж'!D53</f>
        <v>2022</v>
      </c>
      <c r="D53" s="59">
        <f>SUMIFS('Постоянные затраты'!$H:$H,'Постоянные затраты'!$G:$G,"&lt;="&amp;$B53,'Постоянные затраты'!$D:$D,D$5)</f>
        <v>0</v>
      </c>
      <c r="E53" s="59">
        <f>SUMIFS('Постоянные затраты'!$H:$H,'Постоянные затраты'!$G:$G,"&lt;="&amp;$B53,'Постоянные затраты'!$D:$D,E$5)</f>
        <v>0</v>
      </c>
      <c r="F53" s="59">
        <f>SUMIFS('Постоянные затраты'!$H:$H,'Постоянные затраты'!$G:$G,"&lt;="&amp;$B53,'Постоянные затраты'!$D:$D,F$5)</f>
        <v>0</v>
      </c>
      <c r="G53" s="59">
        <f>SUMIFS('Постоянные затраты'!$H:$H,'Постоянные затраты'!$G:$G,"&lt;="&amp;$B53,'Постоянные затраты'!$D:$D,G$5)</f>
        <v>0</v>
      </c>
      <c r="H53" s="59">
        <f>SUMIFS('Постоянные затраты'!$H:$H,'Постоянные затраты'!$G:$G,"&lt;="&amp;$B53,'Постоянные затраты'!$D:$D,H$5)</f>
        <v>560000</v>
      </c>
      <c r="I53" s="59">
        <f t="shared" si="0"/>
        <v>560000</v>
      </c>
    </row>
    <row r="54" spans="2:9" x14ac:dyDescent="0.25">
      <c r="B54" s="59">
        <f>'План продаж'!B54</f>
        <v>48</v>
      </c>
      <c r="C54" s="59">
        <f>'План продаж'!D54</f>
        <v>2022</v>
      </c>
      <c r="D54" s="59">
        <f>SUMIFS('Постоянные затраты'!$H:$H,'Постоянные затраты'!$G:$G,"&lt;="&amp;$B54,'Постоянные затраты'!$D:$D,D$5)</f>
        <v>0</v>
      </c>
      <c r="E54" s="59">
        <f>SUMIFS('Постоянные затраты'!$H:$H,'Постоянные затраты'!$G:$G,"&lt;="&amp;$B54,'Постоянные затраты'!$D:$D,E$5)</f>
        <v>0</v>
      </c>
      <c r="F54" s="59">
        <f>SUMIFS('Постоянные затраты'!$H:$H,'Постоянные затраты'!$G:$G,"&lt;="&amp;$B54,'Постоянные затраты'!$D:$D,F$5)</f>
        <v>0</v>
      </c>
      <c r="G54" s="59">
        <f>SUMIFS('Постоянные затраты'!$H:$H,'Постоянные затраты'!$G:$G,"&lt;="&amp;$B54,'Постоянные затраты'!$D:$D,G$5)</f>
        <v>0</v>
      </c>
      <c r="H54" s="59">
        <f>SUMIFS('Постоянные затраты'!$H:$H,'Постоянные затраты'!$G:$G,"&lt;="&amp;$B54,'Постоянные затраты'!$D:$D,H$5)</f>
        <v>560000</v>
      </c>
      <c r="I54" s="59">
        <f t="shared" si="0"/>
        <v>560000</v>
      </c>
    </row>
    <row r="55" spans="2:9" x14ac:dyDescent="0.25">
      <c r="B55" s="59">
        <f>'План продаж'!B55</f>
        <v>49</v>
      </c>
      <c r="C55" s="59">
        <f>'План продаж'!D55</f>
        <v>2022</v>
      </c>
      <c r="D55" s="59">
        <f>SUMIFS('Постоянные затраты'!$H:$H,'Постоянные затраты'!$G:$G,"&lt;="&amp;$B55,'Постоянные затраты'!$D:$D,D$5)</f>
        <v>0</v>
      </c>
      <c r="E55" s="59">
        <f>SUMIFS('Постоянные затраты'!$H:$H,'Постоянные затраты'!$G:$G,"&lt;="&amp;$B55,'Постоянные затраты'!$D:$D,E$5)</f>
        <v>0</v>
      </c>
      <c r="F55" s="59">
        <f>SUMIFS('Постоянные затраты'!$H:$H,'Постоянные затраты'!$G:$G,"&lt;="&amp;$B55,'Постоянные затраты'!$D:$D,F$5)</f>
        <v>0</v>
      </c>
      <c r="G55" s="59">
        <f>SUMIFS('Постоянные затраты'!$H:$H,'Постоянные затраты'!$G:$G,"&lt;="&amp;$B55,'Постоянные затраты'!$D:$D,G$5)</f>
        <v>0</v>
      </c>
      <c r="H55" s="59">
        <f>SUMIFS('Постоянные затраты'!$H:$H,'Постоянные затраты'!$G:$G,"&lt;="&amp;$B55,'Постоянные затраты'!$D:$D,H$5)</f>
        <v>560000</v>
      </c>
      <c r="I55" s="59">
        <f t="shared" si="0"/>
        <v>560000</v>
      </c>
    </row>
    <row r="56" spans="2:9" x14ac:dyDescent="0.25">
      <c r="B56" s="59">
        <f>'План продаж'!B56</f>
        <v>50</v>
      </c>
      <c r="C56" s="59">
        <f>'План продаж'!D56</f>
        <v>2022</v>
      </c>
      <c r="D56" s="59">
        <f>SUMIFS('Постоянные затраты'!$H:$H,'Постоянные затраты'!$G:$G,"&lt;="&amp;$B56,'Постоянные затраты'!$D:$D,D$5)</f>
        <v>0</v>
      </c>
      <c r="E56" s="59">
        <f>SUMIFS('Постоянные затраты'!$H:$H,'Постоянные затраты'!$G:$G,"&lt;="&amp;$B56,'Постоянные затраты'!$D:$D,E$5)</f>
        <v>0</v>
      </c>
      <c r="F56" s="59">
        <f>SUMIFS('Постоянные затраты'!$H:$H,'Постоянные затраты'!$G:$G,"&lt;="&amp;$B56,'Постоянные затраты'!$D:$D,F$5)</f>
        <v>0</v>
      </c>
      <c r="G56" s="59">
        <f>SUMIFS('Постоянные затраты'!$H:$H,'Постоянные затраты'!$G:$G,"&lt;="&amp;$B56,'Постоянные затраты'!$D:$D,G$5)</f>
        <v>0</v>
      </c>
      <c r="H56" s="59">
        <f>SUMIFS('Постоянные затраты'!$H:$H,'Постоянные затраты'!$G:$G,"&lt;="&amp;$B56,'Постоянные затраты'!$D:$D,H$5)</f>
        <v>560000</v>
      </c>
      <c r="I56" s="59">
        <f t="shared" si="0"/>
        <v>560000</v>
      </c>
    </row>
    <row r="57" spans="2:9" x14ac:dyDescent="0.25">
      <c r="B57" s="59">
        <f>'План продаж'!B57</f>
        <v>51</v>
      </c>
      <c r="C57" s="59">
        <f>'План продаж'!D57</f>
        <v>2022</v>
      </c>
      <c r="D57" s="59">
        <f>SUMIFS('Постоянные затраты'!$H:$H,'Постоянные затраты'!$G:$G,"&lt;="&amp;$B57,'Постоянные затраты'!$D:$D,D$5)</f>
        <v>0</v>
      </c>
      <c r="E57" s="59">
        <f>SUMIFS('Постоянные затраты'!$H:$H,'Постоянные затраты'!$G:$G,"&lt;="&amp;$B57,'Постоянные затраты'!$D:$D,E$5)</f>
        <v>0</v>
      </c>
      <c r="F57" s="59">
        <f>SUMIFS('Постоянные затраты'!$H:$H,'Постоянные затраты'!$G:$G,"&lt;="&amp;$B57,'Постоянные затраты'!$D:$D,F$5)</f>
        <v>0</v>
      </c>
      <c r="G57" s="59">
        <f>SUMIFS('Постоянные затраты'!$H:$H,'Постоянные затраты'!$G:$G,"&lt;="&amp;$B57,'Постоянные затраты'!$D:$D,G$5)</f>
        <v>0</v>
      </c>
      <c r="H57" s="59">
        <f>SUMIFS('Постоянные затраты'!$H:$H,'Постоянные затраты'!$G:$G,"&lt;="&amp;$B57,'Постоянные затраты'!$D:$D,H$5)</f>
        <v>560000</v>
      </c>
      <c r="I57" s="59">
        <f t="shared" si="0"/>
        <v>560000</v>
      </c>
    </row>
    <row r="58" spans="2:9" x14ac:dyDescent="0.25">
      <c r="B58" s="59">
        <f>'План продаж'!B58</f>
        <v>52</v>
      </c>
      <c r="C58" s="59">
        <f>'План продаж'!D58</f>
        <v>2022</v>
      </c>
      <c r="D58" s="59">
        <f>SUMIFS('Постоянные затраты'!$H:$H,'Постоянные затраты'!$G:$G,"&lt;="&amp;$B58,'Постоянные затраты'!$D:$D,D$5)</f>
        <v>0</v>
      </c>
      <c r="E58" s="59">
        <f>SUMIFS('Постоянные затраты'!$H:$H,'Постоянные затраты'!$G:$G,"&lt;="&amp;$B58,'Постоянные затраты'!$D:$D,E$5)</f>
        <v>0</v>
      </c>
      <c r="F58" s="59">
        <f>SUMIFS('Постоянные затраты'!$H:$H,'Постоянные затраты'!$G:$G,"&lt;="&amp;$B58,'Постоянные затраты'!$D:$D,F$5)</f>
        <v>0</v>
      </c>
      <c r="G58" s="59">
        <f>SUMIFS('Постоянные затраты'!$H:$H,'Постоянные затраты'!$G:$G,"&lt;="&amp;$B58,'Постоянные затраты'!$D:$D,G$5)</f>
        <v>0</v>
      </c>
      <c r="H58" s="59">
        <f>SUMIFS('Постоянные затраты'!$H:$H,'Постоянные затраты'!$G:$G,"&lt;="&amp;$B58,'Постоянные затраты'!$D:$D,H$5)</f>
        <v>560000</v>
      </c>
      <c r="I58" s="59">
        <f t="shared" si="0"/>
        <v>560000</v>
      </c>
    </row>
    <row r="59" spans="2:9" x14ac:dyDescent="0.25">
      <c r="B59" s="59">
        <f>'План продаж'!B59</f>
        <v>53</v>
      </c>
      <c r="C59" s="59">
        <f>'План продаж'!D59</f>
        <v>2022</v>
      </c>
      <c r="D59" s="59">
        <f>SUMIFS('Постоянные затраты'!$H:$H,'Постоянные затраты'!$G:$G,"&lt;="&amp;$B59,'Постоянные затраты'!$D:$D,D$5)</f>
        <v>0</v>
      </c>
      <c r="E59" s="59">
        <f>SUMIFS('Постоянные затраты'!$H:$H,'Постоянные затраты'!$G:$G,"&lt;="&amp;$B59,'Постоянные затраты'!$D:$D,E$5)</f>
        <v>0</v>
      </c>
      <c r="F59" s="59">
        <f>SUMIFS('Постоянные затраты'!$H:$H,'Постоянные затраты'!$G:$G,"&lt;="&amp;$B59,'Постоянные затраты'!$D:$D,F$5)</f>
        <v>0</v>
      </c>
      <c r="G59" s="59">
        <f>SUMIFS('Постоянные затраты'!$H:$H,'Постоянные затраты'!$G:$G,"&lt;="&amp;$B59,'Постоянные затраты'!$D:$D,G$5)</f>
        <v>0</v>
      </c>
      <c r="H59" s="59">
        <f>SUMIFS('Постоянные затраты'!$H:$H,'Постоянные затраты'!$G:$G,"&lt;="&amp;$B59,'Постоянные затраты'!$D:$D,H$5)</f>
        <v>560000</v>
      </c>
      <c r="I59" s="59">
        <f t="shared" si="0"/>
        <v>560000</v>
      </c>
    </row>
    <row r="60" spans="2:9" x14ac:dyDescent="0.25">
      <c r="B60" s="59">
        <f>'План продаж'!B60</f>
        <v>54</v>
      </c>
      <c r="C60" s="59">
        <f>'План продаж'!D60</f>
        <v>2022</v>
      </c>
      <c r="D60" s="59">
        <f>SUMIFS('Постоянные затраты'!$H:$H,'Постоянные затраты'!$G:$G,"&lt;="&amp;$B60,'Постоянные затраты'!$D:$D,D$5)</f>
        <v>0</v>
      </c>
      <c r="E60" s="59">
        <f>SUMIFS('Постоянные затраты'!$H:$H,'Постоянные затраты'!$G:$G,"&lt;="&amp;$B60,'Постоянные затраты'!$D:$D,E$5)</f>
        <v>0</v>
      </c>
      <c r="F60" s="59">
        <f>SUMIFS('Постоянные затраты'!$H:$H,'Постоянные затраты'!$G:$G,"&lt;="&amp;$B60,'Постоянные затраты'!$D:$D,F$5)</f>
        <v>0</v>
      </c>
      <c r="G60" s="59">
        <f>SUMIFS('Постоянные затраты'!$H:$H,'Постоянные затраты'!$G:$G,"&lt;="&amp;$B60,'Постоянные затраты'!$D:$D,G$5)</f>
        <v>0</v>
      </c>
      <c r="H60" s="59">
        <f>SUMIFS('Постоянные затраты'!$H:$H,'Постоянные затраты'!$G:$G,"&lt;="&amp;$B60,'Постоянные затраты'!$D:$D,H$5)</f>
        <v>560000</v>
      </c>
      <c r="I60" s="59">
        <f t="shared" si="0"/>
        <v>560000</v>
      </c>
    </row>
    <row r="61" spans="2:9" x14ac:dyDescent="0.25">
      <c r="B61" s="59">
        <f>'План продаж'!B61</f>
        <v>55</v>
      </c>
      <c r="C61" s="59">
        <f>'План продаж'!D61</f>
        <v>2022</v>
      </c>
      <c r="D61" s="59">
        <f>SUMIFS('Постоянные затраты'!$H:$H,'Постоянные затраты'!$G:$G,"&lt;="&amp;$B61,'Постоянные затраты'!$D:$D,D$5)</f>
        <v>0</v>
      </c>
      <c r="E61" s="59">
        <f>SUMIFS('Постоянные затраты'!$H:$H,'Постоянные затраты'!$G:$G,"&lt;="&amp;$B61,'Постоянные затраты'!$D:$D,E$5)</f>
        <v>0</v>
      </c>
      <c r="F61" s="59">
        <f>SUMIFS('Постоянные затраты'!$H:$H,'Постоянные затраты'!$G:$G,"&lt;="&amp;$B61,'Постоянные затраты'!$D:$D,F$5)</f>
        <v>0</v>
      </c>
      <c r="G61" s="59">
        <f>SUMIFS('Постоянные затраты'!$H:$H,'Постоянные затраты'!$G:$G,"&lt;="&amp;$B61,'Постоянные затраты'!$D:$D,G$5)</f>
        <v>0</v>
      </c>
      <c r="H61" s="59">
        <f>SUMIFS('Постоянные затраты'!$H:$H,'Постоянные затраты'!$G:$G,"&lt;="&amp;$B61,'Постоянные затраты'!$D:$D,H$5)</f>
        <v>560000</v>
      </c>
      <c r="I61" s="59">
        <f t="shared" si="0"/>
        <v>560000</v>
      </c>
    </row>
    <row r="62" spans="2:9" x14ac:dyDescent="0.25">
      <c r="B62" s="59">
        <f>'План продаж'!B62</f>
        <v>56</v>
      </c>
      <c r="C62" s="59">
        <f>'План продаж'!D62</f>
        <v>2022</v>
      </c>
      <c r="D62" s="59">
        <f>SUMIFS('Постоянные затраты'!$H:$H,'Постоянные затраты'!$G:$G,"&lt;="&amp;$B62,'Постоянные затраты'!$D:$D,D$5)</f>
        <v>0</v>
      </c>
      <c r="E62" s="59">
        <f>SUMIFS('Постоянные затраты'!$H:$H,'Постоянные затраты'!$G:$G,"&lt;="&amp;$B62,'Постоянные затраты'!$D:$D,E$5)</f>
        <v>0</v>
      </c>
      <c r="F62" s="59">
        <f>SUMIFS('Постоянные затраты'!$H:$H,'Постоянные затраты'!$G:$G,"&lt;="&amp;$B62,'Постоянные затраты'!$D:$D,F$5)</f>
        <v>0</v>
      </c>
      <c r="G62" s="59">
        <f>SUMIFS('Постоянные затраты'!$H:$H,'Постоянные затраты'!$G:$G,"&lt;="&amp;$B62,'Постоянные затраты'!$D:$D,G$5)</f>
        <v>0</v>
      </c>
      <c r="H62" s="59">
        <f>SUMIFS('Постоянные затраты'!$H:$H,'Постоянные затраты'!$G:$G,"&lt;="&amp;$B62,'Постоянные затраты'!$D:$D,H$5)</f>
        <v>560000</v>
      </c>
      <c r="I62" s="59">
        <f t="shared" si="0"/>
        <v>560000</v>
      </c>
    </row>
    <row r="63" spans="2:9" x14ac:dyDescent="0.25">
      <c r="B63" s="59">
        <f>'План продаж'!B63</f>
        <v>57</v>
      </c>
      <c r="C63" s="59">
        <f>'План продаж'!D63</f>
        <v>2022</v>
      </c>
      <c r="D63" s="59">
        <f>SUMIFS('Постоянные затраты'!$H:$H,'Постоянные затраты'!$G:$G,"&lt;="&amp;$B63,'Постоянные затраты'!$D:$D,D$5)</f>
        <v>0</v>
      </c>
      <c r="E63" s="59">
        <f>SUMIFS('Постоянные затраты'!$H:$H,'Постоянные затраты'!$G:$G,"&lt;="&amp;$B63,'Постоянные затраты'!$D:$D,E$5)</f>
        <v>0</v>
      </c>
      <c r="F63" s="59">
        <f>SUMIFS('Постоянные затраты'!$H:$H,'Постоянные затраты'!$G:$G,"&lt;="&amp;$B63,'Постоянные затраты'!$D:$D,F$5)</f>
        <v>0</v>
      </c>
      <c r="G63" s="59">
        <f>SUMIFS('Постоянные затраты'!$H:$H,'Постоянные затраты'!$G:$G,"&lt;="&amp;$B63,'Постоянные затраты'!$D:$D,G$5)</f>
        <v>0</v>
      </c>
      <c r="H63" s="59">
        <f>SUMIFS('Постоянные затраты'!$H:$H,'Постоянные затраты'!$G:$G,"&lt;="&amp;$B63,'Постоянные затраты'!$D:$D,H$5)</f>
        <v>560000</v>
      </c>
      <c r="I63" s="59">
        <f t="shared" si="0"/>
        <v>560000</v>
      </c>
    </row>
    <row r="64" spans="2:9" x14ac:dyDescent="0.25">
      <c r="B64" s="59">
        <f>'План продаж'!B64</f>
        <v>58</v>
      </c>
      <c r="C64" s="59">
        <f>'План продаж'!D64</f>
        <v>2022</v>
      </c>
      <c r="D64" s="59">
        <f>SUMIFS('Постоянные затраты'!$H:$H,'Постоянные затраты'!$G:$G,"&lt;="&amp;$B64,'Постоянные затраты'!$D:$D,D$5)</f>
        <v>0</v>
      </c>
      <c r="E64" s="59">
        <f>SUMIFS('Постоянные затраты'!$H:$H,'Постоянные затраты'!$G:$G,"&lt;="&amp;$B64,'Постоянные затраты'!$D:$D,E$5)</f>
        <v>0</v>
      </c>
      <c r="F64" s="59">
        <f>SUMIFS('Постоянные затраты'!$H:$H,'Постоянные затраты'!$G:$G,"&lt;="&amp;$B64,'Постоянные затраты'!$D:$D,F$5)</f>
        <v>0</v>
      </c>
      <c r="G64" s="59">
        <f>SUMIFS('Постоянные затраты'!$H:$H,'Постоянные затраты'!$G:$G,"&lt;="&amp;$B64,'Постоянные затраты'!$D:$D,G$5)</f>
        <v>0</v>
      </c>
      <c r="H64" s="59">
        <f>SUMIFS('Постоянные затраты'!$H:$H,'Постоянные затраты'!$G:$G,"&lt;="&amp;$B64,'Постоянные затраты'!$D:$D,H$5)</f>
        <v>560000</v>
      </c>
      <c r="I64" s="59">
        <f t="shared" si="0"/>
        <v>560000</v>
      </c>
    </row>
    <row r="65" spans="2:9" x14ac:dyDescent="0.25">
      <c r="B65" s="59">
        <f>'План продаж'!B65</f>
        <v>59</v>
      </c>
      <c r="C65" s="59">
        <f>'План продаж'!D65</f>
        <v>2023</v>
      </c>
      <c r="D65" s="59">
        <f>SUMIFS('Постоянные затраты'!$H:$H,'Постоянные затраты'!$G:$G,"&lt;="&amp;$B65,'Постоянные затраты'!$D:$D,D$5)</f>
        <v>0</v>
      </c>
      <c r="E65" s="59">
        <f>SUMIFS('Постоянные затраты'!$H:$H,'Постоянные затраты'!$G:$G,"&lt;="&amp;$B65,'Постоянные затраты'!$D:$D,E$5)</f>
        <v>0</v>
      </c>
      <c r="F65" s="59">
        <f>SUMIFS('Постоянные затраты'!$H:$H,'Постоянные затраты'!$G:$G,"&lt;="&amp;$B65,'Постоянные затраты'!$D:$D,F$5)</f>
        <v>0</v>
      </c>
      <c r="G65" s="59">
        <f>SUMIFS('Постоянные затраты'!$H:$H,'Постоянные затраты'!$G:$G,"&lt;="&amp;$B65,'Постоянные затраты'!$D:$D,G$5)</f>
        <v>0</v>
      </c>
      <c r="H65" s="59">
        <f>SUMIFS('Постоянные затраты'!$H:$H,'Постоянные затраты'!$G:$G,"&lt;="&amp;$B65,'Постоянные затраты'!$D:$D,H$5)</f>
        <v>560000</v>
      </c>
      <c r="I65" s="59">
        <f t="shared" si="0"/>
        <v>560000</v>
      </c>
    </row>
    <row r="66" spans="2:9" x14ac:dyDescent="0.25">
      <c r="B66" s="59">
        <f>'План продаж'!B66</f>
        <v>60</v>
      </c>
      <c r="C66" s="59">
        <f>'План продаж'!D66</f>
        <v>2023</v>
      </c>
      <c r="D66" s="59">
        <f>SUMIFS('Постоянные затраты'!$H:$H,'Постоянные затраты'!$G:$G,"&lt;="&amp;$B66,'Постоянные затраты'!$D:$D,D$5)</f>
        <v>0</v>
      </c>
      <c r="E66" s="59">
        <f>SUMIFS('Постоянные затраты'!$H:$H,'Постоянные затраты'!$G:$G,"&lt;="&amp;$B66,'Постоянные затраты'!$D:$D,E$5)</f>
        <v>0</v>
      </c>
      <c r="F66" s="59">
        <f>SUMIFS('Постоянные затраты'!$H:$H,'Постоянные затраты'!$G:$G,"&lt;="&amp;$B66,'Постоянные затраты'!$D:$D,F$5)</f>
        <v>0</v>
      </c>
      <c r="G66" s="59">
        <f>SUMIFS('Постоянные затраты'!$H:$H,'Постоянные затраты'!$G:$G,"&lt;="&amp;$B66,'Постоянные затраты'!$D:$D,G$5)</f>
        <v>0</v>
      </c>
      <c r="H66" s="59">
        <f>SUMIFS('Постоянные затраты'!$H:$H,'Постоянные затраты'!$G:$G,"&lt;="&amp;$B66,'Постоянные затраты'!$D:$D,H$5)</f>
        <v>560000</v>
      </c>
      <c r="I66" s="59">
        <f t="shared" si="0"/>
        <v>560000</v>
      </c>
    </row>
    <row r="67" spans="2:9" x14ac:dyDescent="0.25">
      <c r="B67" s="59">
        <f>'Пропускная способность'!C96</f>
        <v>0</v>
      </c>
      <c r="C67" s="59">
        <f>'Пропускная способность'!E96</f>
        <v>0</v>
      </c>
      <c r="D67" s="59">
        <f>SUMIFS('Постоянные затраты'!$H:$H,'Постоянные затраты'!$G:$G,"&lt;="&amp;$B67,'Постоянные затраты'!$D:$D,D$5)</f>
        <v>0</v>
      </c>
      <c r="E67" s="59">
        <f>SUMIFS('Постоянные затраты'!$H:$H,'Постоянные затраты'!$G:$G,"&lt;="&amp;$B67,'Постоянные затраты'!$D:$D,E$5)</f>
        <v>0</v>
      </c>
      <c r="F67" s="59">
        <f>SUMIFS('Постоянные затраты'!$H:$H,'Постоянные затраты'!$G:$G,"&lt;="&amp;$B67,'Постоянные затраты'!$D:$D,F$5)</f>
        <v>0</v>
      </c>
      <c r="G67" s="59">
        <f>SUMIFS('Постоянные затраты'!$H:$H,'Постоянные затраты'!$G:$G,"&lt;="&amp;$B67,'Постоянные затраты'!$D:$D,G$5)</f>
        <v>0</v>
      </c>
      <c r="H67" s="59">
        <f>SUMIFS('Постоянные затраты'!$H:$H,'Постоянные затраты'!$G:$G,"&lt;="&amp;$B67,'Постоянные затраты'!$D:$D,H$5)</f>
        <v>0</v>
      </c>
      <c r="I67" s="59">
        <f t="shared" si="0"/>
        <v>0</v>
      </c>
    </row>
    <row r="68" spans="2:9" x14ac:dyDescent="0.25">
      <c r="B68" s="59">
        <f>'Пропускная способность'!C97</f>
        <v>0</v>
      </c>
      <c r="C68" s="59">
        <f>'Пропускная способность'!E97</f>
        <v>0</v>
      </c>
      <c r="D68" s="59">
        <f>SUMIFS('Постоянные затраты'!$H:$H,'Постоянные затраты'!$G:$G,"&lt;="&amp;$B68,'Постоянные затраты'!$D:$D,D$5)</f>
        <v>0</v>
      </c>
      <c r="E68" s="59">
        <f>SUMIFS('Постоянные затраты'!$H:$H,'Постоянные затраты'!$G:$G,"&lt;="&amp;$B68,'Постоянные затраты'!$D:$D,E$5)</f>
        <v>0</v>
      </c>
      <c r="F68" s="59">
        <f>SUMIFS('Постоянные затраты'!$H:$H,'Постоянные затраты'!$G:$G,"&lt;="&amp;$B68,'Постоянные затраты'!$D:$D,F$5)</f>
        <v>0</v>
      </c>
      <c r="G68" s="59">
        <f>SUMIFS('Постоянные затраты'!$H:$H,'Постоянные затраты'!$G:$G,"&lt;="&amp;$B68,'Постоянные затраты'!$D:$D,G$5)</f>
        <v>0</v>
      </c>
      <c r="H68" s="59">
        <f>SUMIFS('Постоянные затраты'!$H:$H,'Постоянные затраты'!$G:$G,"&lt;="&amp;$B68,'Постоянные затраты'!$D:$D,H$5)</f>
        <v>0</v>
      </c>
      <c r="I68" s="59">
        <f t="shared" si="0"/>
        <v>0</v>
      </c>
    </row>
    <row r="69" spans="2:9" x14ac:dyDescent="0.25">
      <c r="B69" s="59">
        <f>'Пропускная способность'!C98</f>
        <v>0</v>
      </c>
      <c r="C69" s="59">
        <f>'Пропускная способность'!E98</f>
        <v>0</v>
      </c>
      <c r="D69" s="59">
        <f>SUMIFS('Постоянные затраты'!$H:$H,'Постоянные затраты'!$G:$G,"&lt;="&amp;$B69,'Постоянные затраты'!$D:$D,D$5)</f>
        <v>0</v>
      </c>
      <c r="E69" s="59">
        <f>SUMIFS('Постоянные затраты'!$H:$H,'Постоянные затраты'!$G:$G,"&lt;="&amp;$B69,'Постоянные затраты'!$D:$D,E$5)</f>
        <v>0</v>
      </c>
      <c r="F69" s="59">
        <f>SUMIFS('Постоянные затраты'!$H:$H,'Постоянные затраты'!$G:$G,"&lt;="&amp;$B69,'Постоянные затраты'!$D:$D,F$5)</f>
        <v>0</v>
      </c>
      <c r="G69" s="59">
        <f>SUMIFS('Постоянные затраты'!$H:$H,'Постоянные затраты'!$G:$G,"&lt;="&amp;$B69,'Постоянные затраты'!$D:$D,G$5)</f>
        <v>0</v>
      </c>
      <c r="H69" s="59">
        <f>SUMIFS('Постоянные затраты'!$H:$H,'Постоянные затраты'!$G:$G,"&lt;="&amp;$B69,'Постоянные затраты'!$D:$D,H$5)</f>
        <v>0</v>
      </c>
      <c r="I69" s="59">
        <f t="shared" si="0"/>
        <v>0</v>
      </c>
    </row>
    <row r="70" spans="2:9" x14ac:dyDescent="0.25">
      <c r="B70" s="59">
        <f>'Пропускная способность'!C99</f>
        <v>0</v>
      </c>
      <c r="C70" s="59">
        <f>'Пропускная способность'!E99</f>
        <v>0</v>
      </c>
      <c r="D70" s="59">
        <f>SUMIFS('Постоянные затраты'!$H:$H,'Постоянные затраты'!$G:$G,"&lt;="&amp;$B70,'Постоянные затраты'!$D:$D,D$5)</f>
        <v>0</v>
      </c>
      <c r="E70" s="59">
        <f>SUMIFS('Постоянные затраты'!$H:$H,'Постоянные затраты'!$G:$G,"&lt;="&amp;$B70,'Постоянные затраты'!$D:$D,E$5)</f>
        <v>0</v>
      </c>
      <c r="F70" s="59">
        <f>SUMIFS('Постоянные затраты'!$H:$H,'Постоянные затраты'!$G:$G,"&lt;="&amp;$B70,'Постоянные затраты'!$D:$D,F$5)</f>
        <v>0</v>
      </c>
      <c r="G70" s="59">
        <f>SUMIFS('Постоянные затраты'!$H:$H,'Постоянные затраты'!$G:$G,"&lt;="&amp;$B70,'Постоянные затраты'!$D:$D,G$5)</f>
        <v>0</v>
      </c>
      <c r="H70" s="59">
        <f>SUMIFS('Постоянные затраты'!$H:$H,'Постоянные затраты'!$G:$G,"&lt;="&amp;$B70,'Постоянные затраты'!$D:$D,H$5)</f>
        <v>0</v>
      </c>
      <c r="I70" s="59">
        <f t="shared" si="0"/>
        <v>0</v>
      </c>
    </row>
    <row r="71" spans="2:9" x14ac:dyDescent="0.25">
      <c r="B71" s="59">
        <f>'Пропускная способность'!C100</f>
        <v>0</v>
      </c>
      <c r="C71" s="59">
        <f>'Пропускная способность'!E100</f>
        <v>0</v>
      </c>
      <c r="D71" s="59">
        <f>SUMIFS('Постоянные затраты'!$H:$H,'Постоянные затраты'!$G:$G,"&lt;="&amp;$B71,'Постоянные затраты'!$D:$D,D$5)</f>
        <v>0</v>
      </c>
      <c r="E71" s="59">
        <f>SUMIFS('Постоянные затраты'!$H:$H,'Постоянные затраты'!$G:$G,"&lt;="&amp;$B71,'Постоянные затраты'!$D:$D,E$5)</f>
        <v>0</v>
      </c>
      <c r="F71" s="59">
        <f>SUMIFS('Постоянные затраты'!$H:$H,'Постоянные затраты'!$G:$G,"&lt;="&amp;$B71,'Постоянные затраты'!$D:$D,F$5)</f>
        <v>0</v>
      </c>
      <c r="G71" s="59">
        <f>SUMIFS('Постоянные затраты'!$H:$H,'Постоянные затраты'!$G:$G,"&lt;="&amp;$B71,'Постоянные затраты'!$D:$D,G$5)</f>
        <v>0</v>
      </c>
      <c r="H71" s="59">
        <f>SUMIFS('Постоянные затраты'!$H:$H,'Постоянные затраты'!$G:$G,"&lt;="&amp;$B71,'Постоянные затраты'!$D:$D,H$5)</f>
        <v>0</v>
      </c>
      <c r="I71" s="59">
        <f t="shared" ref="I71:I130" si="1">SUM(D71:H71)</f>
        <v>0</v>
      </c>
    </row>
    <row r="72" spans="2:9" x14ac:dyDescent="0.25">
      <c r="B72" s="59">
        <f>'Пропускная способность'!C101</f>
        <v>0</v>
      </c>
      <c r="C72" s="59">
        <f>'Пропускная способность'!E101</f>
        <v>0</v>
      </c>
      <c r="D72" s="59">
        <f>SUMIFS('Постоянные затраты'!$H:$H,'Постоянные затраты'!$G:$G,"&lt;="&amp;$B72,'Постоянные затраты'!$D:$D,D$5)</f>
        <v>0</v>
      </c>
      <c r="E72" s="59">
        <f>SUMIFS('Постоянные затраты'!$H:$H,'Постоянные затраты'!$G:$G,"&lt;="&amp;$B72,'Постоянные затраты'!$D:$D,E$5)</f>
        <v>0</v>
      </c>
      <c r="F72" s="59">
        <f>SUMIFS('Постоянные затраты'!$H:$H,'Постоянные затраты'!$G:$G,"&lt;="&amp;$B72,'Постоянные затраты'!$D:$D,F$5)</f>
        <v>0</v>
      </c>
      <c r="G72" s="59">
        <f>SUMIFS('Постоянные затраты'!$H:$H,'Постоянные затраты'!$G:$G,"&lt;="&amp;$B72,'Постоянные затраты'!$D:$D,G$5)</f>
        <v>0</v>
      </c>
      <c r="H72" s="59">
        <f>SUMIFS('Постоянные затраты'!$H:$H,'Постоянные затраты'!$G:$G,"&lt;="&amp;$B72,'Постоянные затраты'!$D:$D,H$5)</f>
        <v>0</v>
      </c>
      <c r="I72" s="59">
        <f t="shared" si="1"/>
        <v>0</v>
      </c>
    </row>
    <row r="73" spans="2:9" x14ac:dyDescent="0.25">
      <c r="B73" s="59">
        <f>'Пропускная способность'!C102</f>
        <v>0</v>
      </c>
      <c r="C73" s="59">
        <f>'Пропускная способность'!E102</f>
        <v>0</v>
      </c>
      <c r="D73" s="59">
        <f>SUMIFS('Постоянные затраты'!$H:$H,'Постоянные затраты'!$G:$G,"&lt;="&amp;$B73,'Постоянные затраты'!$D:$D,D$5)</f>
        <v>0</v>
      </c>
      <c r="E73" s="59">
        <f>SUMIFS('Постоянные затраты'!$H:$H,'Постоянные затраты'!$G:$G,"&lt;="&amp;$B73,'Постоянные затраты'!$D:$D,E$5)</f>
        <v>0</v>
      </c>
      <c r="F73" s="59">
        <f>SUMIFS('Постоянные затраты'!$H:$H,'Постоянные затраты'!$G:$G,"&lt;="&amp;$B73,'Постоянные затраты'!$D:$D,F$5)</f>
        <v>0</v>
      </c>
      <c r="G73" s="59">
        <f>SUMIFS('Постоянные затраты'!$H:$H,'Постоянные затраты'!$G:$G,"&lt;="&amp;$B73,'Постоянные затраты'!$D:$D,G$5)</f>
        <v>0</v>
      </c>
      <c r="H73" s="59">
        <f>SUMIFS('Постоянные затраты'!$H:$H,'Постоянные затраты'!$G:$G,"&lt;="&amp;$B73,'Постоянные затраты'!$D:$D,H$5)</f>
        <v>0</v>
      </c>
      <c r="I73" s="59">
        <f t="shared" si="1"/>
        <v>0</v>
      </c>
    </row>
    <row r="74" spans="2:9" x14ac:dyDescent="0.25">
      <c r="B74" s="59">
        <f>'Пропускная способность'!C103</f>
        <v>0</v>
      </c>
      <c r="C74" s="59">
        <f>'Пропускная способность'!E103</f>
        <v>0</v>
      </c>
      <c r="D74" s="59">
        <f>SUMIFS('Постоянные затраты'!$H:$H,'Постоянные затраты'!$G:$G,"&lt;="&amp;$B74,'Постоянные затраты'!$D:$D,D$5)</f>
        <v>0</v>
      </c>
      <c r="E74" s="59">
        <f>SUMIFS('Постоянные затраты'!$H:$H,'Постоянные затраты'!$G:$G,"&lt;="&amp;$B74,'Постоянные затраты'!$D:$D,E$5)</f>
        <v>0</v>
      </c>
      <c r="F74" s="59">
        <f>SUMIFS('Постоянные затраты'!$H:$H,'Постоянные затраты'!$G:$G,"&lt;="&amp;$B74,'Постоянные затраты'!$D:$D,F$5)</f>
        <v>0</v>
      </c>
      <c r="G74" s="59">
        <f>SUMIFS('Постоянные затраты'!$H:$H,'Постоянные затраты'!$G:$G,"&lt;="&amp;$B74,'Постоянные затраты'!$D:$D,G$5)</f>
        <v>0</v>
      </c>
      <c r="H74" s="59">
        <f>SUMIFS('Постоянные затраты'!$H:$H,'Постоянные затраты'!$G:$G,"&lt;="&amp;$B74,'Постоянные затраты'!$D:$D,H$5)</f>
        <v>0</v>
      </c>
      <c r="I74" s="59">
        <f t="shared" si="1"/>
        <v>0</v>
      </c>
    </row>
    <row r="75" spans="2:9" x14ac:dyDescent="0.25">
      <c r="B75" s="59">
        <f>'Пропускная способность'!C104</f>
        <v>0</v>
      </c>
      <c r="C75" s="59">
        <f>'Пропускная способность'!E104</f>
        <v>0</v>
      </c>
      <c r="D75" s="59">
        <f>SUMIFS('Постоянные затраты'!$H:$H,'Постоянные затраты'!$G:$G,"&lt;="&amp;$B75,'Постоянные затраты'!$D:$D,D$5)</f>
        <v>0</v>
      </c>
      <c r="E75" s="59">
        <f>SUMIFS('Постоянные затраты'!$H:$H,'Постоянные затраты'!$G:$G,"&lt;="&amp;$B75,'Постоянные затраты'!$D:$D,E$5)</f>
        <v>0</v>
      </c>
      <c r="F75" s="59">
        <f>SUMIFS('Постоянные затраты'!$H:$H,'Постоянные затраты'!$G:$G,"&lt;="&amp;$B75,'Постоянные затраты'!$D:$D,F$5)</f>
        <v>0</v>
      </c>
      <c r="G75" s="59">
        <f>SUMIFS('Постоянные затраты'!$H:$H,'Постоянные затраты'!$G:$G,"&lt;="&amp;$B75,'Постоянные затраты'!$D:$D,G$5)</f>
        <v>0</v>
      </c>
      <c r="H75" s="59">
        <f>SUMIFS('Постоянные затраты'!$H:$H,'Постоянные затраты'!$G:$G,"&lt;="&amp;$B75,'Постоянные затраты'!$D:$D,H$5)</f>
        <v>0</v>
      </c>
      <c r="I75" s="59">
        <f t="shared" si="1"/>
        <v>0</v>
      </c>
    </row>
    <row r="76" spans="2:9" x14ac:dyDescent="0.25">
      <c r="B76" s="59">
        <f>'Пропускная способность'!C105</f>
        <v>0</v>
      </c>
      <c r="C76" s="59">
        <f>'Пропускная способность'!E105</f>
        <v>0</v>
      </c>
      <c r="D76" s="59">
        <f>SUMIFS('Постоянные затраты'!$H:$H,'Постоянные затраты'!$G:$G,"&lt;="&amp;$B76,'Постоянные затраты'!$D:$D,D$5)</f>
        <v>0</v>
      </c>
      <c r="E76" s="59">
        <f>SUMIFS('Постоянные затраты'!$H:$H,'Постоянные затраты'!$G:$G,"&lt;="&amp;$B76,'Постоянные затраты'!$D:$D,E$5)</f>
        <v>0</v>
      </c>
      <c r="F76" s="59">
        <f>SUMIFS('Постоянные затраты'!$H:$H,'Постоянные затраты'!$G:$G,"&lt;="&amp;$B76,'Постоянные затраты'!$D:$D,F$5)</f>
        <v>0</v>
      </c>
      <c r="G76" s="59">
        <f>SUMIFS('Постоянные затраты'!$H:$H,'Постоянные затраты'!$G:$G,"&lt;="&amp;$B76,'Постоянные затраты'!$D:$D,G$5)</f>
        <v>0</v>
      </c>
      <c r="H76" s="59">
        <f>SUMIFS('Постоянные затраты'!$H:$H,'Постоянные затраты'!$G:$G,"&lt;="&amp;$B76,'Постоянные затраты'!$D:$D,H$5)</f>
        <v>0</v>
      </c>
      <c r="I76" s="59">
        <f t="shared" si="1"/>
        <v>0</v>
      </c>
    </row>
    <row r="77" spans="2:9" x14ac:dyDescent="0.25">
      <c r="B77" s="59">
        <f>'Пропускная способность'!C106</f>
        <v>0</v>
      </c>
      <c r="C77" s="59">
        <f>'Пропускная способность'!E106</f>
        <v>0</v>
      </c>
      <c r="D77" s="59">
        <f>SUMIFS('Постоянные затраты'!$H:$H,'Постоянные затраты'!$G:$G,"&lt;="&amp;$B77,'Постоянные затраты'!$D:$D,D$5)</f>
        <v>0</v>
      </c>
      <c r="E77" s="59">
        <f>SUMIFS('Постоянные затраты'!$H:$H,'Постоянные затраты'!$G:$G,"&lt;="&amp;$B77,'Постоянные затраты'!$D:$D,E$5)</f>
        <v>0</v>
      </c>
      <c r="F77" s="59">
        <f>SUMIFS('Постоянные затраты'!$H:$H,'Постоянные затраты'!$G:$G,"&lt;="&amp;$B77,'Постоянные затраты'!$D:$D,F$5)</f>
        <v>0</v>
      </c>
      <c r="G77" s="59">
        <f>SUMIFS('Постоянные затраты'!$H:$H,'Постоянные затраты'!$G:$G,"&lt;="&amp;$B77,'Постоянные затраты'!$D:$D,G$5)</f>
        <v>0</v>
      </c>
      <c r="H77" s="59">
        <f>SUMIFS('Постоянные затраты'!$H:$H,'Постоянные затраты'!$G:$G,"&lt;="&amp;$B77,'Постоянные затраты'!$D:$D,H$5)</f>
        <v>0</v>
      </c>
      <c r="I77" s="59">
        <f t="shared" si="1"/>
        <v>0</v>
      </c>
    </row>
    <row r="78" spans="2:9" x14ac:dyDescent="0.25">
      <c r="B78" s="59">
        <f>'Пропускная способность'!C107</f>
        <v>0</v>
      </c>
      <c r="C78" s="59">
        <f>'Пропускная способность'!E107</f>
        <v>0</v>
      </c>
      <c r="D78" s="59">
        <f>SUMIFS('Постоянные затраты'!$H:$H,'Постоянные затраты'!$G:$G,"&lt;="&amp;$B78,'Постоянные затраты'!$D:$D,D$5)</f>
        <v>0</v>
      </c>
      <c r="E78" s="59">
        <f>SUMIFS('Постоянные затраты'!$H:$H,'Постоянные затраты'!$G:$G,"&lt;="&amp;$B78,'Постоянные затраты'!$D:$D,E$5)</f>
        <v>0</v>
      </c>
      <c r="F78" s="59">
        <f>SUMIFS('Постоянные затраты'!$H:$H,'Постоянные затраты'!$G:$G,"&lt;="&amp;$B78,'Постоянные затраты'!$D:$D,F$5)</f>
        <v>0</v>
      </c>
      <c r="G78" s="59">
        <f>SUMIFS('Постоянные затраты'!$H:$H,'Постоянные затраты'!$G:$G,"&lt;="&amp;$B78,'Постоянные затраты'!$D:$D,G$5)</f>
        <v>0</v>
      </c>
      <c r="H78" s="59">
        <f>SUMIFS('Постоянные затраты'!$H:$H,'Постоянные затраты'!$G:$G,"&lt;="&amp;$B78,'Постоянные затраты'!$D:$D,H$5)</f>
        <v>0</v>
      </c>
      <c r="I78" s="59">
        <f t="shared" si="1"/>
        <v>0</v>
      </c>
    </row>
    <row r="79" spans="2:9" x14ac:dyDescent="0.25">
      <c r="B79" s="59">
        <f>'Пропускная способность'!C108</f>
        <v>0</v>
      </c>
      <c r="C79" s="59">
        <f>'Пропускная способность'!E108</f>
        <v>0</v>
      </c>
      <c r="D79" s="59">
        <f>SUMIFS('Постоянные затраты'!$H:$H,'Постоянные затраты'!$G:$G,"&lt;="&amp;$B79,'Постоянные затраты'!$D:$D,D$5)</f>
        <v>0</v>
      </c>
      <c r="E79" s="59">
        <f>SUMIFS('Постоянные затраты'!$H:$H,'Постоянные затраты'!$G:$G,"&lt;="&amp;$B79,'Постоянные затраты'!$D:$D,E$5)</f>
        <v>0</v>
      </c>
      <c r="F79" s="59">
        <f>SUMIFS('Постоянные затраты'!$H:$H,'Постоянные затраты'!$G:$G,"&lt;="&amp;$B79,'Постоянные затраты'!$D:$D,F$5)</f>
        <v>0</v>
      </c>
      <c r="G79" s="59">
        <f>SUMIFS('Постоянные затраты'!$H:$H,'Постоянные затраты'!$G:$G,"&lt;="&amp;$B79,'Постоянные затраты'!$D:$D,G$5)</f>
        <v>0</v>
      </c>
      <c r="H79" s="59">
        <f>SUMIFS('Постоянные затраты'!$H:$H,'Постоянные затраты'!$G:$G,"&lt;="&amp;$B79,'Постоянные затраты'!$D:$D,H$5)</f>
        <v>0</v>
      </c>
      <c r="I79" s="59">
        <f t="shared" si="1"/>
        <v>0</v>
      </c>
    </row>
    <row r="80" spans="2:9" x14ac:dyDescent="0.25">
      <c r="B80" s="59">
        <f>'Пропускная способность'!C109</f>
        <v>0</v>
      </c>
      <c r="C80" s="59">
        <f>'Пропускная способность'!E109</f>
        <v>0</v>
      </c>
      <c r="D80" s="59">
        <f>SUMIFS('Постоянные затраты'!$H:$H,'Постоянные затраты'!$G:$G,"&lt;="&amp;$B80,'Постоянные затраты'!$D:$D,D$5)</f>
        <v>0</v>
      </c>
      <c r="E80" s="59">
        <f>SUMIFS('Постоянные затраты'!$H:$H,'Постоянные затраты'!$G:$G,"&lt;="&amp;$B80,'Постоянные затраты'!$D:$D,E$5)</f>
        <v>0</v>
      </c>
      <c r="F80" s="59">
        <f>SUMIFS('Постоянные затраты'!$H:$H,'Постоянные затраты'!$G:$G,"&lt;="&amp;$B80,'Постоянные затраты'!$D:$D,F$5)</f>
        <v>0</v>
      </c>
      <c r="G80" s="59">
        <f>SUMIFS('Постоянные затраты'!$H:$H,'Постоянные затраты'!$G:$G,"&lt;="&amp;$B80,'Постоянные затраты'!$D:$D,G$5)</f>
        <v>0</v>
      </c>
      <c r="H80" s="59">
        <f>SUMIFS('Постоянные затраты'!$H:$H,'Постоянные затраты'!$G:$G,"&lt;="&amp;$B80,'Постоянные затраты'!$D:$D,H$5)</f>
        <v>0</v>
      </c>
      <c r="I80" s="59">
        <f t="shared" si="1"/>
        <v>0</v>
      </c>
    </row>
    <row r="81" spans="2:9" x14ac:dyDescent="0.25">
      <c r="B81" s="59">
        <f>'Пропускная способность'!C110</f>
        <v>0</v>
      </c>
      <c r="C81" s="59">
        <f>'Пропускная способность'!E110</f>
        <v>0</v>
      </c>
      <c r="D81" s="59">
        <f>SUMIFS('Постоянные затраты'!$H:$H,'Постоянные затраты'!$G:$G,"&lt;="&amp;$B81,'Постоянные затраты'!$D:$D,D$5)</f>
        <v>0</v>
      </c>
      <c r="E81" s="59">
        <f>SUMIFS('Постоянные затраты'!$H:$H,'Постоянные затраты'!$G:$G,"&lt;="&amp;$B81,'Постоянные затраты'!$D:$D,E$5)</f>
        <v>0</v>
      </c>
      <c r="F81" s="59">
        <f>SUMIFS('Постоянные затраты'!$H:$H,'Постоянные затраты'!$G:$G,"&lt;="&amp;$B81,'Постоянные затраты'!$D:$D,F$5)</f>
        <v>0</v>
      </c>
      <c r="G81" s="59">
        <f>SUMIFS('Постоянные затраты'!$H:$H,'Постоянные затраты'!$G:$G,"&lt;="&amp;$B81,'Постоянные затраты'!$D:$D,G$5)</f>
        <v>0</v>
      </c>
      <c r="H81" s="59">
        <f>SUMIFS('Постоянные затраты'!$H:$H,'Постоянные затраты'!$G:$G,"&lt;="&amp;$B81,'Постоянные затраты'!$D:$D,H$5)</f>
        <v>0</v>
      </c>
      <c r="I81" s="59">
        <f t="shared" si="1"/>
        <v>0</v>
      </c>
    </row>
    <row r="82" spans="2:9" x14ac:dyDescent="0.25">
      <c r="B82" s="59">
        <f>'Пропускная способность'!C111</f>
        <v>0</v>
      </c>
      <c r="C82" s="59">
        <f>'Пропускная способность'!E111</f>
        <v>0</v>
      </c>
      <c r="D82" s="59">
        <f>SUMIFS('Постоянные затраты'!$H:$H,'Постоянные затраты'!$G:$G,"&lt;="&amp;$B82,'Постоянные затраты'!$D:$D,D$5)</f>
        <v>0</v>
      </c>
      <c r="E82" s="59">
        <f>SUMIFS('Постоянные затраты'!$H:$H,'Постоянные затраты'!$G:$G,"&lt;="&amp;$B82,'Постоянные затраты'!$D:$D,E$5)</f>
        <v>0</v>
      </c>
      <c r="F82" s="59">
        <f>SUMIFS('Постоянные затраты'!$H:$H,'Постоянные затраты'!$G:$G,"&lt;="&amp;$B82,'Постоянные затраты'!$D:$D,F$5)</f>
        <v>0</v>
      </c>
      <c r="G82" s="59">
        <f>SUMIFS('Постоянные затраты'!$H:$H,'Постоянные затраты'!$G:$G,"&lt;="&amp;$B82,'Постоянные затраты'!$D:$D,G$5)</f>
        <v>0</v>
      </c>
      <c r="H82" s="59">
        <f>SUMIFS('Постоянные затраты'!$H:$H,'Постоянные затраты'!$G:$G,"&lt;="&amp;$B82,'Постоянные затраты'!$D:$D,H$5)</f>
        <v>0</v>
      </c>
      <c r="I82" s="59">
        <f t="shared" si="1"/>
        <v>0</v>
      </c>
    </row>
    <row r="83" spans="2:9" x14ac:dyDescent="0.25">
      <c r="B83" s="59">
        <f>'Пропускная способность'!C112</f>
        <v>0</v>
      </c>
      <c r="C83" s="59">
        <f>'Пропускная способность'!E112</f>
        <v>0</v>
      </c>
      <c r="D83" s="59">
        <f>SUMIFS('Постоянные затраты'!$H:$H,'Постоянные затраты'!$G:$G,"&lt;="&amp;$B83,'Постоянные затраты'!$D:$D,D$5)</f>
        <v>0</v>
      </c>
      <c r="E83" s="59">
        <f>SUMIFS('Постоянные затраты'!$H:$H,'Постоянные затраты'!$G:$G,"&lt;="&amp;$B83,'Постоянные затраты'!$D:$D,E$5)</f>
        <v>0</v>
      </c>
      <c r="F83" s="59">
        <f>SUMIFS('Постоянные затраты'!$H:$H,'Постоянные затраты'!$G:$G,"&lt;="&amp;$B83,'Постоянные затраты'!$D:$D,F$5)</f>
        <v>0</v>
      </c>
      <c r="G83" s="59">
        <f>SUMIFS('Постоянные затраты'!$H:$H,'Постоянные затраты'!$G:$G,"&lt;="&amp;$B83,'Постоянные затраты'!$D:$D,G$5)</f>
        <v>0</v>
      </c>
      <c r="H83" s="59">
        <f>SUMIFS('Постоянные затраты'!$H:$H,'Постоянные затраты'!$G:$G,"&lt;="&amp;$B83,'Постоянные затраты'!$D:$D,H$5)</f>
        <v>0</v>
      </c>
      <c r="I83" s="59">
        <f t="shared" si="1"/>
        <v>0</v>
      </c>
    </row>
    <row r="84" spans="2:9" x14ac:dyDescent="0.25">
      <c r="B84" s="59">
        <f>'Пропускная способность'!C113</f>
        <v>0</v>
      </c>
      <c r="C84" s="59">
        <f>'Пропускная способность'!E113</f>
        <v>0</v>
      </c>
      <c r="D84" s="59">
        <f>SUMIFS('Постоянные затраты'!$H:$H,'Постоянные затраты'!$G:$G,"&lt;="&amp;$B84,'Постоянные затраты'!$D:$D,D$5)</f>
        <v>0</v>
      </c>
      <c r="E84" s="59">
        <f>SUMIFS('Постоянные затраты'!$H:$H,'Постоянные затраты'!$G:$G,"&lt;="&amp;$B84,'Постоянные затраты'!$D:$D,E$5)</f>
        <v>0</v>
      </c>
      <c r="F84" s="59">
        <f>SUMIFS('Постоянные затраты'!$H:$H,'Постоянные затраты'!$G:$G,"&lt;="&amp;$B84,'Постоянные затраты'!$D:$D,F$5)</f>
        <v>0</v>
      </c>
      <c r="G84" s="59">
        <f>SUMIFS('Постоянные затраты'!$H:$H,'Постоянные затраты'!$G:$G,"&lt;="&amp;$B84,'Постоянные затраты'!$D:$D,G$5)</f>
        <v>0</v>
      </c>
      <c r="H84" s="59">
        <f>SUMIFS('Постоянные затраты'!$H:$H,'Постоянные затраты'!$G:$G,"&lt;="&amp;$B84,'Постоянные затраты'!$D:$D,H$5)</f>
        <v>0</v>
      </c>
      <c r="I84" s="59">
        <f t="shared" si="1"/>
        <v>0</v>
      </c>
    </row>
    <row r="85" spans="2:9" x14ac:dyDescent="0.25">
      <c r="B85" s="59">
        <f>'Пропускная способность'!C114</f>
        <v>0</v>
      </c>
      <c r="C85" s="59">
        <f>'Пропускная способность'!E114</f>
        <v>0</v>
      </c>
      <c r="D85" s="59">
        <f>SUMIFS('Постоянные затраты'!$H:$H,'Постоянные затраты'!$G:$G,"&lt;="&amp;$B85,'Постоянные затраты'!$D:$D,D$5)</f>
        <v>0</v>
      </c>
      <c r="E85" s="59">
        <f>SUMIFS('Постоянные затраты'!$H:$H,'Постоянные затраты'!$G:$G,"&lt;="&amp;$B85,'Постоянные затраты'!$D:$D,E$5)</f>
        <v>0</v>
      </c>
      <c r="F85" s="59">
        <f>SUMIFS('Постоянные затраты'!$H:$H,'Постоянные затраты'!$G:$G,"&lt;="&amp;$B85,'Постоянные затраты'!$D:$D,F$5)</f>
        <v>0</v>
      </c>
      <c r="G85" s="59">
        <f>SUMIFS('Постоянные затраты'!$H:$H,'Постоянные затраты'!$G:$G,"&lt;="&amp;$B85,'Постоянные затраты'!$D:$D,G$5)</f>
        <v>0</v>
      </c>
      <c r="H85" s="59">
        <f>SUMIFS('Постоянные затраты'!$H:$H,'Постоянные затраты'!$G:$G,"&lt;="&amp;$B85,'Постоянные затраты'!$D:$D,H$5)</f>
        <v>0</v>
      </c>
      <c r="I85" s="59">
        <f t="shared" si="1"/>
        <v>0</v>
      </c>
    </row>
    <row r="86" spans="2:9" x14ac:dyDescent="0.25">
      <c r="B86" s="59">
        <f>'Пропускная способность'!C115</f>
        <v>0</v>
      </c>
      <c r="C86" s="59">
        <f>'Пропускная способность'!E115</f>
        <v>0</v>
      </c>
      <c r="D86" s="59">
        <f>SUMIFS('Постоянные затраты'!$H:$H,'Постоянные затраты'!$G:$G,"&lt;="&amp;$B86,'Постоянные затраты'!$D:$D,D$5)</f>
        <v>0</v>
      </c>
      <c r="E86" s="59">
        <f>SUMIFS('Постоянные затраты'!$H:$H,'Постоянные затраты'!$G:$G,"&lt;="&amp;$B86,'Постоянные затраты'!$D:$D,E$5)</f>
        <v>0</v>
      </c>
      <c r="F86" s="59">
        <f>SUMIFS('Постоянные затраты'!$H:$H,'Постоянные затраты'!$G:$G,"&lt;="&amp;$B86,'Постоянные затраты'!$D:$D,F$5)</f>
        <v>0</v>
      </c>
      <c r="G86" s="59">
        <f>SUMIFS('Постоянные затраты'!$H:$H,'Постоянные затраты'!$G:$G,"&lt;="&amp;$B86,'Постоянные затраты'!$D:$D,G$5)</f>
        <v>0</v>
      </c>
      <c r="H86" s="59">
        <f>SUMIFS('Постоянные затраты'!$H:$H,'Постоянные затраты'!$G:$G,"&lt;="&amp;$B86,'Постоянные затраты'!$D:$D,H$5)</f>
        <v>0</v>
      </c>
      <c r="I86" s="59">
        <f t="shared" si="1"/>
        <v>0</v>
      </c>
    </row>
    <row r="87" spans="2:9" x14ac:dyDescent="0.25">
      <c r="B87" s="59">
        <f>'Пропускная способность'!C116</f>
        <v>0</v>
      </c>
      <c r="C87" s="59">
        <f>'Пропускная способность'!E116</f>
        <v>0</v>
      </c>
      <c r="D87" s="59">
        <f>SUMIFS('Постоянные затраты'!$H:$H,'Постоянные затраты'!$G:$G,"&lt;="&amp;$B87,'Постоянные затраты'!$D:$D,D$5)</f>
        <v>0</v>
      </c>
      <c r="E87" s="59">
        <f>SUMIFS('Постоянные затраты'!$H:$H,'Постоянные затраты'!$G:$G,"&lt;="&amp;$B87,'Постоянные затраты'!$D:$D,E$5)</f>
        <v>0</v>
      </c>
      <c r="F87" s="59">
        <f>SUMIFS('Постоянные затраты'!$H:$H,'Постоянные затраты'!$G:$G,"&lt;="&amp;$B87,'Постоянные затраты'!$D:$D,F$5)</f>
        <v>0</v>
      </c>
      <c r="G87" s="59">
        <f>SUMIFS('Постоянные затраты'!$H:$H,'Постоянные затраты'!$G:$G,"&lt;="&amp;$B87,'Постоянные затраты'!$D:$D,G$5)</f>
        <v>0</v>
      </c>
      <c r="H87" s="59">
        <f>SUMIFS('Постоянные затраты'!$H:$H,'Постоянные затраты'!$G:$G,"&lt;="&amp;$B87,'Постоянные затраты'!$D:$D,H$5)</f>
        <v>0</v>
      </c>
      <c r="I87" s="59">
        <f t="shared" si="1"/>
        <v>0</v>
      </c>
    </row>
    <row r="88" spans="2:9" x14ac:dyDescent="0.25">
      <c r="B88" s="59">
        <f>'Пропускная способность'!C117</f>
        <v>0</v>
      </c>
      <c r="C88" s="59">
        <f>'Пропускная способность'!E117</f>
        <v>0</v>
      </c>
      <c r="D88" s="59">
        <f>SUMIFS('Постоянные затраты'!$H:$H,'Постоянные затраты'!$G:$G,"&lt;="&amp;$B88,'Постоянные затраты'!$D:$D,D$5)</f>
        <v>0</v>
      </c>
      <c r="E88" s="59">
        <f>SUMIFS('Постоянные затраты'!$H:$H,'Постоянные затраты'!$G:$G,"&lt;="&amp;$B88,'Постоянные затраты'!$D:$D,E$5)</f>
        <v>0</v>
      </c>
      <c r="F88" s="59">
        <f>SUMIFS('Постоянные затраты'!$H:$H,'Постоянные затраты'!$G:$G,"&lt;="&amp;$B88,'Постоянные затраты'!$D:$D,F$5)</f>
        <v>0</v>
      </c>
      <c r="G88" s="59">
        <f>SUMIFS('Постоянные затраты'!$H:$H,'Постоянные затраты'!$G:$G,"&lt;="&amp;$B88,'Постоянные затраты'!$D:$D,G$5)</f>
        <v>0</v>
      </c>
      <c r="H88" s="59">
        <f>SUMIFS('Постоянные затраты'!$H:$H,'Постоянные затраты'!$G:$G,"&lt;="&amp;$B88,'Постоянные затраты'!$D:$D,H$5)</f>
        <v>0</v>
      </c>
      <c r="I88" s="59">
        <f t="shared" si="1"/>
        <v>0</v>
      </c>
    </row>
    <row r="89" spans="2:9" x14ac:dyDescent="0.25">
      <c r="B89" s="59">
        <f>'Пропускная способность'!C118</f>
        <v>0</v>
      </c>
      <c r="C89" s="59">
        <f>'Пропускная способность'!E118</f>
        <v>0</v>
      </c>
      <c r="D89" s="59">
        <f>SUMIFS('Постоянные затраты'!$H:$H,'Постоянные затраты'!$G:$G,"&lt;="&amp;$B89,'Постоянные затраты'!$D:$D,D$5)</f>
        <v>0</v>
      </c>
      <c r="E89" s="59">
        <f>SUMIFS('Постоянные затраты'!$H:$H,'Постоянные затраты'!$G:$G,"&lt;="&amp;$B89,'Постоянные затраты'!$D:$D,E$5)</f>
        <v>0</v>
      </c>
      <c r="F89" s="59">
        <f>SUMIFS('Постоянные затраты'!$H:$H,'Постоянные затраты'!$G:$G,"&lt;="&amp;$B89,'Постоянные затраты'!$D:$D,F$5)</f>
        <v>0</v>
      </c>
      <c r="G89" s="59">
        <f>SUMIFS('Постоянные затраты'!$H:$H,'Постоянные затраты'!$G:$G,"&lt;="&amp;$B89,'Постоянные затраты'!$D:$D,G$5)</f>
        <v>0</v>
      </c>
      <c r="H89" s="59">
        <f>SUMIFS('Постоянные затраты'!$H:$H,'Постоянные затраты'!$G:$G,"&lt;="&amp;$B89,'Постоянные затраты'!$D:$D,H$5)</f>
        <v>0</v>
      </c>
      <c r="I89" s="59">
        <f t="shared" si="1"/>
        <v>0</v>
      </c>
    </row>
    <row r="90" spans="2:9" x14ac:dyDescent="0.25">
      <c r="B90" s="59">
        <f>'Пропускная способность'!C119</f>
        <v>0</v>
      </c>
      <c r="C90" s="59">
        <f>'Пропускная способность'!E119</f>
        <v>0</v>
      </c>
      <c r="D90" s="59">
        <f>SUMIFS('Постоянные затраты'!$H:$H,'Постоянные затраты'!$G:$G,"&lt;="&amp;$B90,'Постоянные затраты'!$D:$D,D$5)</f>
        <v>0</v>
      </c>
      <c r="E90" s="59">
        <f>SUMIFS('Постоянные затраты'!$H:$H,'Постоянные затраты'!$G:$G,"&lt;="&amp;$B90,'Постоянные затраты'!$D:$D,E$5)</f>
        <v>0</v>
      </c>
      <c r="F90" s="59">
        <f>SUMIFS('Постоянные затраты'!$H:$H,'Постоянные затраты'!$G:$G,"&lt;="&amp;$B90,'Постоянные затраты'!$D:$D,F$5)</f>
        <v>0</v>
      </c>
      <c r="G90" s="59">
        <f>SUMIFS('Постоянные затраты'!$H:$H,'Постоянные затраты'!$G:$G,"&lt;="&amp;$B90,'Постоянные затраты'!$D:$D,G$5)</f>
        <v>0</v>
      </c>
      <c r="H90" s="59">
        <f>SUMIFS('Постоянные затраты'!$H:$H,'Постоянные затраты'!$G:$G,"&lt;="&amp;$B90,'Постоянные затраты'!$D:$D,H$5)</f>
        <v>0</v>
      </c>
      <c r="I90" s="59">
        <f t="shared" si="1"/>
        <v>0</v>
      </c>
    </row>
    <row r="91" spans="2:9" x14ac:dyDescent="0.25">
      <c r="B91" s="59">
        <f>'Пропускная способность'!C120</f>
        <v>0</v>
      </c>
      <c r="C91" s="59">
        <f>'Пропускная способность'!E120</f>
        <v>0</v>
      </c>
      <c r="D91" s="59">
        <f>SUMIFS('Постоянные затраты'!$H:$H,'Постоянные затраты'!$G:$G,"&lt;="&amp;$B91,'Постоянные затраты'!$D:$D,D$5)</f>
        <v>0</v>
      </c>
      <c r="E91" s="59">
        <f>SUMIFS('Постоянные затраты'!$H:$H,'Постоянные затраты'!$G:$G,"&lt;="&amp;$B91,'Постоянные затраты'!$D:$D,E$5)</f>
        <v>0</v>
      </c>
      <c r="F91" s="59">
        <f>SUMIFS('Постоянные затраты'!$H:$H,'Постоянные затраты'!$G:$G,"&lt;="&amp;$B91,'Постоянные затраты'!$D:$D,F$5)</f>
        <v>0</v>
      </c>
      <c r="G91" s="59">
        <f>SUMIFS('Постоянные затраты'!$H:$H,'Постоянные затраты'!$G:$G,"&lt;="&amp;$B91,'Постоянные затраты'!$D:$D,G$5)</f>
        <v>0</v>
      </c>
      <c r="H91" s="59">
        <f>SUMIFS('Постоянные затраты'!$H:$H,'Постоянные затраты'!$G:$G,"&lt;="&amp;$B91,'Постоянные затраты'!$D:$D,H$5)</f>
        <v>0</v>
      </c>
      <c r="I91" s="59">
        <f t="shared" si="1"/>
        <v>0</v>
      </c>
    </row>
    <row r="92" spans="2:9" x14ac:dyDescent="0.25">
      <c r="B92" s="59">
        <f>'Пропускная способность'!C121</f>
        <v>0</v>
      </c>
      <c r="C92" s="59">
        <f>'Пропускная способность'!E121</f>
        <v>0</v>
      </c>
      <c r="D92" s="59">
        <f>SUMIFS('Постоянные затраты'!$H:$H,'Постоянные затраты'!$G:$G,"&lt;="&amp;$B92,'Постоянные затраты'!$D:$D,D$5)</f>
        <v>0</v>
      </c>
      <c r="E92" s="59">
        <f>SUMIFS('Постоянные затраты'!$H:$H,'Постоянные затраты'!$G:$G,"&lt;="&amp;$B92,'Постоянные затраты'!$D:$D,E$5)</f>
        <v>0</v>
      </c>
      <c r="F92" s="59">
        <f>SUMIFS('Постоянные затраты'!$H:$H,'Постоянные затраты'!$G:$G,"&lt;="&amp;$B92,'Постоянные затраты'!$D:$D,F$5)</f>
        <v>0</v>
      </c>
      <c r="G92" s="59">
        <f>SUMIFS('Постоянные затраты'!$H:$H,'Постоянные затраты'!$G:$G,"&lt;="&amp;$B92,'Постоянные затраты'!$D:$D,G$5)</f>
        <v>0</v>
      </c>
      <c r="H92" s="59">
        <f>SUMIFS('Постоянные затраты'!$H:$H,'Постоянные затраты'!$G:$G,"&lt;="&amp;$B92,'Постоянные затраты'!$D:$D,H$5)</f>
        <v>0</v>
      </c>
      <c r="I92" s="59">
        <f t="shared" si="1"/>
        <v>0</v>
      </c>
    </row>
    <row r="93" spans="2:9" x14ac:dyDescent="0.25">
      <c r="B93" s="59">
        <f>'Пропускная способность'!C122</f>
        <v>0</v>
      </c>
      <c r="C93" s="59">
        <f>'Пропускная способность'!E122</f>
        <v>0</v>
      </c>
      <c r="D93" s="59">
        <f>SUMIFS('Постоянные затраты'!$H:$H,'Постоянные затраты'!$G:$G,"&lt;="&amp;$B93,'Постоянные затраты'!$D:$D,D$5)</f>
        <v>0</v>
      </c>
      <c r="E93" s="59">
        <f>SUMIFS('Постоянные затраты'!$H:$H,'Постоянные затраты'!$G:$G,"&lt;="&amp;$B93,'Постоянные затраты'!$D:$D,E$5)</f>
        <v>0</v>
      </c>
      <c r="F93" s="59">
        <f>SUMIFS('Постоянные затраты'!$H:$H,'Постоянные затраты'!$G:$G,"&lt;="&amp;$B93,'Постоянные затраты'!$D:$D,F$5)</f>
        <v>0</v>
      </c>
      <c r="G93" s="59">
        <f>SUMIFS('Постоянные затраты'!$H:$H,'Постоянные затраты'!$G:$G,"&lt;="&amp;$B93,'Постоянные затраты'!$D:$D,G$5)</f>
        <v>0</v>
      </c>
      <c r="H93" s="59">
        <f>SUMIFS('Постоянные затраты'!$H:$H,'Постоянные затраты'!$G:$G,"&lt;="&amp;$B93,'Постоянные затраты'!$D:$D,H$5)</f>
        <v>0</v>
      </c>
      <c r="I93" s="59">
        <f t="shared" si="1"/>
        <v>0</v>
      </c>
    </row>
    <row r="94" spans="2:9" x14ac:dyDescent="0.25">
      <c r="B94" s="59">
        <f>'Пропускная способность'!C123</f>
        <v>0</v>
      </c>
      <c r="C94" s="59">
        <f>'Пропускная способность'!E123</f>
        <v>0</v>
      </c>
      <c r="D94" s="59">
        <f>SUMIFS('Постоянные затраты'!$H:$H,'Постоянные затраты'!$G:$G,"&lt;="&amp;$B94,'Постоянные затраты'!$D:$D,D$5)</f>
        <v>0</v>
      </c>
      <c r="E94" s="59">
        <f>SUMIFS('Постоянные затраты'!$H:$H,'Постоянные затраты'!$G:$G,"&lt;="&amp;$B94,'Постоянные затраты'!$D:$D,E$5)</f>
        <v>0</v>
      </c>
      <c r="F94" s="59">
        <f>SUMIFS('Постоянные затраты'!$H:$H,'Постоянные затраты'!$G:$G,"&lt;="&amp;$B94,'Постоянные затраты'!$D:$D,F$5)</f>
        <v>0</v>
      </c>
      <c r="G94" s="59">
        <f>SUMIFS('Постоянные затраты'!$H:$H,'Постоянные затраты'!$G:$G,"&lt;="&amp;$B94,'Постоянные затраты'!$D:$D,G$5)</f>
        <v>0</v>
      </c>
      <c r="H94" s="59">
        <f>SUMIFS('Постоянные затраты'!$H:$H,'Постоянные затраты'!$G:$G,"&lt;="&amp;$B94,'Постоянные затраты'!$D:$D,H$5)</f>
        <v>0</v>
      </c>
      <c r="I94" s="59">
        <f t="shared" si="1"/>
        <v>0</v>
      </c>
    </row>
    <row r="95" spans="2:9" x14ac:dyDescent="0.25">
      <c r="B95" s="59">
        <f>'Пропускная способность'!C124</f>
        <v>0</v>
      </c>
      <c r="C95" s="59">
        <f>'Пропускная способность'!E124</f>
        <v>0</v>
      </c>
      <c r="D95" s="59">
        <f>SUMIFS('Постоянные затраты'!$H:$H,'Постоянные затраты'!$G:$G,"&lt;="&amp;$B95,'Постоянные затраты'!$D:$D,D$5)</f>
        <v>0</v>
      </c>
      <c r="E95" s="59">
        <f>SUMIFS('Постоянные затраты'!$H:$H,'Постоянные затраты'!$G:$G,"&lt;="&amp;$B95,'Постоянные затраты'!$D:$D,E$5)</f>
        <v>0</v>
      </c>
      <c r="F95" s="59">
        <f>SUMIFS('Постоянные затраты'!$H:$H,'Постоянные затраты'!$G:$G,"&lt;="&amp;$B95,'Постоянные затраты'!$D:$D,F$5)</f>
        <v>0</v>
      </c>
      <c r="G95" s="59">
        <f>SUMIFS('Постоянные затраты'!$H:$H,'Постоянные затраты'!$G:$G,"&lt;="&amp;$B95,'Постоянные затраты'!$D:$D,G$5)</f>
        <v>0</v>
      </c>
      <c r="H95" s="59">
        <f>SUMIFS('Постоянные затраты'!$H:$H,'Постоянные затраты'!$G:$G,"&lt;="&amp;$B95,'Постоянные затраты'!$D:$D,H$5)</f>
        <v>0</v>
      </c>
      <c r="I95" s="59">
        <f t="shared" si="1"/>
        <v>0</v>
      </c>
    </row>
    <row r="96" spans="2:9" x14ac:dyDescent="0.25">
      <c r="B96" s="59">
        <f>'Пропускная способность'!C125</f>
        <v>0</v>
      </c>
      <c r="C96" s="59">
        <f>'Пропускная способность'!E125</f>
        <v>0</v>
      </c>
      <c r="D96" s="59">
        <f>SUMIFS('Постоянные затраты'!$H:$H,'Постоянные затраты'!$G:$G,"&lt;="&amp;$B96,'Постоянные затраты'!$D:$D,D$5)</f>
        <v>0</v>
      </c>
      <c r="E96" s="59">
        <f>SUMIFS('Постоянные затраты'!$H:$H,'Постоянные затраты'!$G:$G,"&lt;="&amp;$B96,'Постоянные затраты'!$D:$D,E$5)</f>
        <v>0</v>
      </c>
      <c r="F96" s="59">
        <f>SUMIFS('Постоянные затраты'!$H:$H,'Постоянные затраты'!$G:$G,"&lt;="&amp;$B96,'Постоянные затраты'!$D:$D,F$5)</f>
        <v>0</v>
      </c>
      <c r="G96" s="59">
        <f>SUMIFS('Постоянные затраты'!$H:$H,'Постоянные затраты'!$G:$G,"&lt;="&amp;$B96,'Постоянные затраты'!$D:$D,G$5)</f>
        <v>0</v>
      </c>
      <c r="H96" s="59">
        <f>SUMIFS('Постоянные затраты'!$H:$H,'Постоянные затраты'!$G:$G,"&lt;="&amp;$B96,'Постоянные затраты'!$D:$D,H$5)</f>
        <v>0</v>
      </c>
      <c r="I96" s="59">
        <f t="shared" si="1"/>
        <v>0</v>
      </c>
    </row>
    <row r="97" spans="2:9" x14ac:dyDescent="0.25">
      <c r="B97" s="59">
        <f>'Пропускная способность'!C126</f>
        <v>0</v>
      </c>
      <c r="C97" s="59">
        <f>'Пропускная способность'!E126</f>
        <v>0</v>
      </c>
      <c r="D97" s="59">
        <f>SUMIFS('Постоянные затраты'!$H:$H,'Постоянные затраты'!$G:$G,"&lt;="&amp;$B97,'Постоянные затраты'!$D:$D,D$5)</f>
        <v>0</v>
      </c>
      <c r="E97" s="59">
        <f>SUMIFS('Постоянные затраты'!$H:$H,'Постоянные затраты'!$G:$G,"&lt;="&amp;$B97,'Постоянные затраты'!$D:$D,E$5)</f>
        <v>0</v>
      </c>
      <c r="F97" s="59">
        <f>SUMIFS('Постоянные затраты'!$H:$H,'Постоянные затраты'!$G:$G,"&lt;="&amp;$B97,'Постоянные затраты'!$D:$D,F$5)</f>
        <v>0</v>
      </c>
      <c r="G97" s="59">
        <f>SUMIFS('Постоянные затраты'!$H:$H,'Постоянные затраты'!$G:$G,"&lt;="&amp;$B97,'Постоянные затраты'!$D:$D,G$5)</f>
        <v>0</v>
      </c>
      <c r="H97" s="59">
        <f>SUMIFS('Постоянные затраты'!$H:$H,'Постоянные затраты'!$G:$G,"&lt;="&amp;$B97,'Постоянные затраты'!$D:$D,H$5)</f>
        <v>0</v>
      </c>
      <c r="I97" s="59">
        <f t="shared" si="1"/>
        <v>0</v>
      </c>
    </row>
    <row r="98" spans="2:9" x14ac:dyDescent="0.25">
      <c r="B98" s="59">
        <f>'Пропускная способность'!C127</f>
        <v>0</v>
      </c>
      <c r="C98" s="59">
        <f>'Пропускная способность'!E127</f>
        <v>0</v>
      </c>
      <c r="D98" s="59">
        <f>SUMIFS('Постоянные затраты'!$H:$H,'Постоянные затраты'!$G:$G,"&lt;="&amp;$B98,'Постоянные затраты'!$D:$D,D$5)</f>
        <v>0</v>
      </c>
      <c r="E98" s="59">
        <f>SUMIFS('Постоянные затраты'!$H:$H,'Постоянные затраты'!$G:$G,"&lt;="&amp;$B98,'Постоянные затраты'!$D:$D,E$5)</f>
        <v>0</v>
      </c>
      <c r="F98" s="59">
        <f>SUMIFS('Постоянные затраты'!$H:$H,'Постоянные затраты'!$G:$G,"&lt;="&amp;$B98,'Постоянные затраты'!$D:$D,F$5)</f>
        <v>0</v>
      </c>
      <c r="G98" s="59">
        <f>SUMIFS('Постоянные затраты'!$H:$H,'Постоянные затраты'!$G:$G,"&lt;="&amp;$B98,'Постоянные затраты'!$D:$D,G$5)</f>
        <v>0</v>
      </c>
      <c r="H98" s="59">
        <f>SUMIFS('Постоянные затраты'!$H:$H,'Постоянные затраты'!$G:$G,"&lt;="&amp;$B98,'Постоянные затраты'!$D:$D,H$5)</f>
        <v>0</v>
      </c>
      <c r="I98" s="59">
        <f t="shared" si="1"/>
        <v>0</v>
      </c>
    </row>
    <row r="99" spans="2:9" x14ac:dyDescent="0.25">
      <c r="B99" s="59">
        <f>'Пропускная способность'!C128</f>
        <v>0</v>
      </c>
      <c r="C99" s="59">
        <f>'Пропускная способность'!E128</f>
        <v>0</v>
      </c>
      <c r="D99" s="59">
        <f>SUMIFS('Постоянные затраты'!$H:$H,'Постоянные затраты'!$G:$G,"&lt;="&amp;$B99,'Постоянные затраты'!$D:$D,D$5)</f>
        <v>0</v>
      </c>
      <c r="E99" s="59">
        <f>SUMIFS('Постоянные затраты'!$H:$H,'Постоянные затраты'!$G:$G,"&lt;="&amp;$B99,'Постоянные затраты'!$D:$D,E$5)</f>
        <v>0</v>
      </c>
      <c r="F99" s="59">
        <f>SUMIFS('Постоянные затраты'!$H:$H,'Постоянные затраты'!$G:$G,"&lt;="&amp;$B99,'Постоянные затраты'!$D:$D,F$5)</f>
        <v>0</v>
      </c>
      <c r="G99" s="59">
        <f>SUMIFS('Постоянные затраты'!$H:$H,'Постоянные затраты'!$G:$G,"&lt;="&amp;$B99,'Постоянные затраты'!$D:$D,G$5)</f>
        <v>0</v>
      </c>
      <c r="H99" s="59">
        <f>SUMIFS('Постоянные затраты'!$H:$H,'Постоянные затраты'!$G:$G,"&lt;="&amp;$B99,'Постоянные затраты'!$D:$D,H$5)</f>
        <v>0</v>
      </c>
      <c r="I99" s="59">
        <f t="shared" si="1"/>
        <v>0</v>
      </c>
    </row>
    <row r="100" spans="2:9" x14ac:dyDescent="0.25">
      <c r="B100" s="59">
        <f>'Пропускная способность'!C129</f>
        <v>0</v>
      </c>
      <c r="C100" s="59">
        <f>'Пропускная способность'!E129</f>
        <v>0</v>
      </c>
      <c r="D100" s="59">
        <f>SUMIFS('Постоянные затраты'!$H:$H,'Постоянные затраты'!$G:$G,"&lt;="&amp;$B100,'Постоянные затраты'!$D:$D,D$5)</f>
        <v>0</v>
      </c>
      <c r="E100" s="59">
        <f>SUMIFS('Постоянные затраты'!$H:$H,'Постоянные затраты'!$G:$G,"&lt;="&amp;$B100,'Постоянные затраты'!$D:$D,E$5)</f>
        <v>0</v>
      </c>
      <c r="F100" s="59">
        <f>SUMIFS('Постоянные затраты'!$H:$H,'Постоянные затраты'!$G:$G,"&lt;="&amp;$B100,'Постоянные затраты'!$D:$D,F$5)</f>
        <v>0</v>
      </c>
      <c r="G100" s="59">
        <f>SUMIFS('Постоянные затраты'!$H:$H,'Постоянные затраты'!$G:$G,"&lt;="&amp;$B100,'Постоянные затраты'!$D:$D,G$5)</f>
        <v>0</v>
      </c>
      <c r="H100" s="59">
        <f>SUMIFS('Постоянные затраты'!$H:$H,'Постоянные затраты'!$G:$G,"&lt;="&amp;$B100,'Постоянные затраты'!$D:$D,H$5)</f>
        <v>0</v>
      </c>
      <c r="I100" s="59">
        <f t="shared" si="1"/>
        <v>0</v>
      </c>
    </row>
    <row r="101" spans="2:9" x14ac:dyDescent="0.25">
      <c r="B101" s="59">
        <f>'Пропускная способность'!C130</f>
        <v>0</v>
      </c>
      <c r="C101" s="59">
        <f>'Пропускная способность'!E130</f>
        <v>0</v>
      </c>
      <c r="D101" s="59">
        <f>SUMIFS('Постоянные затраты'!$H:$H,'Постоянные затраты'!$G:$G,"&lt;="&amp;$B101,'Постоянные затраты'!$D:$D,D$5)</f>
        <v>0</v>
      </c>
      <c r="E101" s="59">
        <f>SUMIFS('Постоянные затраты'!$H:$H,'Постоянные затраты'!$G:$G,"&lt;="&amp;$B101,'Постоянные затраты'!$D:$D,E$5)</f>
        <v>0</v>
      </c>
      <c r="F101" s="59">
        <f>SUMIFS('Постоянные затраты'!$H:$H,'Постоянные затраты'!$G:$G,"&lt;="&amp;$B101,'Постоянные затраты'!$D:$D,F$5)</f>
        <v>0</v>
      </c>
      <c r="G101" s="59">
        <f>SUMIFS('Постоянные затраты'!$H:$H,'Постоянные затраты'!$G:$G,"&lt;="&amp;$B101,'Постоянные затраты'!$D:$D,G$5)</f>
        <v>0</v>
      </c>
      <c r="H101" s="59">
        <f>SUMIFS('Постоянные затраты'!$H:$H,'Постоянные затраты'!$G:$G,"&lt;="&amp;$B101,'Постоянные затраты'!$D:$D,H$5)</f>
        <v>0</v>
      </c>
      <c r="I101" s="59">
        <f t="shared" si="1"/>
        <v>0</v>
      </c>
    </row>
    <row r="102" spans="2:9" x14ac:dyDescent="0.25">
      <c r="B102" s="59">
        <f>'Пропускная способность'!C131</f>
        <v>0</v>
      </c>
      <c r="C102" s="59">
        <f>'Пропускная способность'!E131</f>
        <v>0</v>
      </c>
      <c r="D102" s="59">
        <f>SUMIFS('Постоянные затраты'!$H:$H,'Постоянные затраты'!$G:$G,"&lt;="&amp;$B102,'Постоянные затраты'!$D:$D,D$5)</f>
        <v>0</v>
      </c>
      <c r="E102" s="59">
        <f>SUMIFS('Постоянные затраты'!$H:$H,'Постоянные затраты'!$G:$G,"&lt;="&amp;$B102,'Постоянные затраты'!$D:$D,E$5)</f>
        <v>0</v>
      </c>
      <c r="F102" s="59">
        <f>SUMIFS('Постоянные затраты'!$H:$H,'Постоянные затраты'!$G:$G,"&lt;="&amp;$B102,'Постоянные затраты'!$D:$D,F$5)</f>
        <v>0</v>
      </c>
      <c r="G102" s="59">
        <f>SUMIFS('Постоянные затраты'!$H:$H,'Постоянные затраты'!$G:$G,"&lt;="&amp;$B102,'Постоянные затраты'!$D:$D,G$5)</f>
        <v>0</v>
      </c>
      <c r="H102" s="59">
        <f>SUMIFS('Постоянные затраты'!$H:$H,'Постоянные затраты'!$G:$G,"&lt;="&amp;$B102,'Постоянные затраты'!$D:$D,H$5)</f>
        <v>0</v>
      </c>
      <c r="I102" s="59">
        <f t="shared" si="1"/>
        <v>0</v>
      </c>
    </row>
    <row r="103" spans="2:9" x14ac:dyDescent="0.25">
      <c r="B103" s="59">
        <f>'Пропускная способность'!C132</f>
        <v>0</v>
      </c>
      <c r="C103" s="59">
        <f>'Пропускная способность'!E132</f>
        <v>0</v>
      </c>
      <c r="D103" s="59">
        <f>SUMIFS('Постоянные затраты'!$H:$H,'Постоянные затраты'!$G:$G,"&lt;="&amp;$B103,'Постоянные затраты'!$D:$D,D$5)</f>
        <v>0</v>
      </c>
      <c r="E103" s="59">
        <f>SUMIFS('Постоянные затраты'!$H:$H,'Постоянные затраты'!$G:$G,"&lt;="&amp;$B103,'Постоянные затраты'!$D:$D,E$5)</f>
        <v>0</v>
      </c>
      <c r="F103" s="59">
        <f>SUMIFS('Постоянные затраты'!$H:$H,'Постоянные затраты'!$G:$G,"&lt;="&amp;$B103,'Постоянные затраты'!$D:$D,F$5)</f>
        <v>0</v>
      </c>
      <c r="G103" s="59">
        <f>SUMIFS('Постоянные затраты'!$H:$H,'Постоянные затраты'!$G:$G,"&lt;="&amp;$B103,'Постоянные затраты'!$D:$D,G$5)</f>
        <v>0</v>
      </c>
      <c r="H103" s="59">
        <f>SUMIFS('Постоянные затраты'!$H:$H,'Постоянные затраты'!$G:$G,"&lt;="&amp;$B103,'Постоянные затраты'!$D:$D,H$5)</f>
        <v>0</v>
      </c>
      <c r="I103" s="59">
        <f t="shared" si="1"/>
        <v>0</v>
      </c>
    </row>
    <row r="104" spans="2:9" x14ac:dyDescent="0.25">
      <c r="B104" s="59">
        <f>'Пропускная способность'!C133</f>
        <v>0</v>
      </c>
      <c r="C104" s="59">
        <f>'Пропускная способность'!E133</f>
        <v>0</v>
      </c>
      <c r="D104" s="59">
        <f>SUMIFS('Постоянные затраты'!$H:$H,'Постоянные затраты'!$G:$G,"&lt;="&amp;$B104,'Постоянные затраты'!$D:$D,D$5)</f>
        <v>0</v>
      </c>
      <c r="E104" s="59">
        <f>SUMIFS('Постоянные затраты'!$H:$H,'Постоянные затраты'!$G:$G,"&lt;="&amp;$B104,'Постоянные затраты'!$D:$D,E$5)</f>
        <v>0</v>
      </c>
      <c r="F104" s="59">
        <f>SUMIFS('Постоянные затраты'!$H:$H,'Постоянные затраты'!$G:$G,"&lt;="&amp;$B104,'Постоянные затраты'!$D:$D,F$5)</f>
        <v>0</v>
      </c>
      <c r="G104" s="59">
        <f>SUMIFS('Постоянные затраты'!$H:$H,'Постоянные затраты'!$G:$G,"&lt;="&amp;$B104,'Постоянные затраты'!$D:$D,G$5)</f>
        <v>0</v>
      </c>
      <c r="H104" s="59">
        <f>SUMIFS('Постоянные затраты'!$H:$H,'Постоянные затраты'!$G:$G,"&lt;="&amp;$B104,'Постоянные затраты'!$D:$D,H$5)</f>
        <v>0</v>
      </c>
      <c r="I104" s="59">
        <f t="shared" si="1"/>
        <v>0</v>
      </c>
    </row>
    <row r="105" spans="2:9" x14ac:dyDescent="0.25">
      <c r="B105" s="59">
        <f>'Пропускная способность'!C134</f>
        <v>0</v>
      </c>
      <c r="C105" s="59">
        <f>'Пропускная способность'!E134</f>
        <v>0</v>
      </c>
      <c r="D105" s="59">
        <f>SUMIFS('Постоянные затраты'!$H:$H,'Постоянные затраты'!$G:$G,"&lt;="&amp;$B105,'Постоянные затраты'!$D:$D,D$5)</f>
        <v>0</v>
      </c>
      <c r="E105" s="59">
        <f>SUMIFS('Постоянные затраты'!$H:$H,'Постоянные затраты'!$G:$G,"&lt;="&amp;$B105,'Постоянные затраты'!$D:$D,E$5)</f>
        <v>0</v>
      </c>
      <c r="F105" s="59">
        <f>SUMIFS('Постоянные затраты'!$H:$H,'Постоянные затраты'!$G:$G,"&lt;="&amp;$B105,'Постоянные затраты'!$D:$D,F$5)</f>
        <v>0</v>
      </c>
      <c r="G105" s="59">
        <f>SUMIFS('Постоянные затраты'!$H:$H,'Постоянные затраты'!$G:$G,"&lt;="&amp;$B105,'Постоянные затраты'!$D:$D,G$5)</f>
        <v>0</v>
      </c>
      <c r="H105" s="59">
        <f>SUMIFS('Постоянные затраты'!$H:$H,'Постоянные затраты'!$G:$G,"&lt;="&amp;$B105,'Постоянные затраты'!$D:$D,H$5)</f>
        <v>0</v>
      </c>
      <c r="I105" s="59">
        <f t="shared" si="1"/>
        <v>0</v>
      </c>
    </row>
    <row r="106" spans="2:9" x14ac:dyDescent="0.25">
      <c r="B106" s="59">
        <f>'Пропускная способность'!C135</f>
        <v>0</v>
      </c>
      <c r="C106" s="59">
        <f>'Пропускная способность'!E135</f>
        <v>0</v>
      </c>
      <c r="D106" s="59">
        <f>SUMIFS('Постоянные затраты'!$H:$H,'Постоянные затраты'!$G:$G,"&lt;="&amp;$B106,'Постоянные затраты'!$D:$D,D$5)</f>
        <v>0</v>
      </c>
      <c r="E106" s="59">
        <f>SUMIFS('Постоянные затраты'!$H:$H,'Постоянные затраты'!$G:$G,"&lt;="&amp;$B106,'Постоянные затраты'!$D:$D,E$5)</f>
        <v>0</v>
      </c>
      <c r="F106" s="59">
        <f>SUMIFS('Постоянные затраты'!$H:$H,'Постоянные затраты'!$G:$G,"&lt;="&amp;$B106,'Постоянные затраты'!$D:$D,F$5)</f>
        <v>0</v>
      </c>
      <c r="G106" s="59">
        <f>SUMIFS('Постоянные затраты'!$H:$H,'Постоянные затраты'!$G:$G,"&lt;="&amp;$B106,'Постоянные затраты'!$D:$D,G$5)</f>
        <v>0</v>
      </c>
      <c r="H106" s="59">
        <f>SUMIFS('Постоянные затраты'!$H:$H,'Постоянные затраты'!$G:$G,"&lt;="&amp;$B106,'Постоянные затраты'!$D:$D,H$5)</f>
        <v>0</v>
      </c>
      <c r="I106" s="59">
        <f t="shared" si="1"/>
        <v>0</v>
      </c>
    </row>
    <row r="107" spans="2:9" x14ac:dyDescent="0.25">
      <c r="B107" s="59">
        <f>'Пропускная способность'!C136</f>
        <v>0</v>
      </c>
      <c r="C107" s="59">
        <f>'Пропускная способность'!E136</f>
        <v>0</v>
      </c>
      <c r="D107" s="59">
        <f>SUMIFS('Постоянные затраты'!$H:$H,'Постоянные затраты'!$G:$G,"&lt;="&amp;$B107,'Постоянные затраты'!$D:$D,D$5)</f>
        <v>0</v>
      </c>
      <c r="E107" s="59">
        <f>SUMIFS('Постоянные затраты'!$H:$H,'Постоянные затраты'!$G:$G,"&lt;="&amp;$B107,'Постоянные затраты'!$D:$D,E$5)</f>
        <v>0</v>
      </c>
      <c r="F107" s="59">
        <f>SUMIFS('Постоянные затраты'!$H:$H,'Постоянные затраты'!$G:$G,"&lt;="&amp;$B107,'Постоянные затраты'!$D:$D,F$5)</f>
        <v>0</v>
      </c>
      <c r="G107" s="59">
        <f>SUMIFS('Постоянные затраты'!$H:$H,'Постоянные затраты'!$G:$G,"&lt;="&amp;$B107,'Постоянные затраты'!$D:$D,G$5)</f>
        <v>0</v>
      </c>
      <c r="H107" s="59">
        <f>SUMIFS('Постоянные затраты'!$H:$H,'Постоянные затраты'!$G:$G,"&lt;="&amp;$B107,'Постоянные затраты'!$D:$D,H$5)</f>
        <v>0</v>
      </c>
      <c r="I107" s="59">
        <f t="shared" si="1"/>
        <v>0</v>
      </c>
    </row>
    <row r="108" spans="2:9" x14ac:dyDescent="0.25">
      <c r="B108" s="59">
        <f>'Пропускная способность'!C137</f>
        <v>0</v>
      </c>
      <c r="C108" s="59">
        <f>'Пропускная способность'!E137</f>
        <v>0</v>
      </c>
      <c r="D108" s="59">
        <f>SUMIFS('Постоянные затраты'!$H:$H,'Постоянные затраты'!$G:$G,"&lt;="&amp;$B108,'Постоянные затраты'!$D:$D,D$5)</f>
        <v>0</v>
      </c>
      <c r="E108" s="59">
        <f>SUMIFS('Постоянные затраты'!$H:$H,'Постоянные затраты'!$G:$G,"&lt;="&amp;$B108,'Постоянные затраты'!$D:$D,E$5)</f>
        <v>0</v>
      </c>
      <c r="F108" s="59">
        <f>SUMIFS('Постоянные затраты'!$H:$H,'Постоянные затраты'!$G:$G,"&lt;="&amp;$B108,'Постоянные затраты'!$D:$D,F$5)</f>
        <v>0</v>
      </c>
      <c r="G108" s="59">
        <f>SUMIFS('Постоянные затраты'!$H:$H,'Постоянные затраты'!$G:$G,"&lt;="&amp;$B108,'Постоянные затраты'!$D:$D,G$5)</f>
        <v>0</v>
      </c>
      <c r="H108" s="59">
        <f>SUMIFS('Постоянные затраты'!$H:$H,'Постоянные затраты'!$G:$G,"&lt;="&amp;$B108,'Постоянные затраты'!$D:$D,H$5)</f>
        <v>0</v>
      </c>
      <c r="I108" s="59">
        <f t="shared" si="1"/>
        <v>0</v>
      </c>
    </row>
    <row r="109" spans="2:9" x14ac:dyDescent="0.25">
      <c r="B109" s="59">
        <f>'Пропускная способность'!C138</f>
        <v>0</v>
      </c>
      <c r="C109" s="59">
        <f>'Пропускная способность'!E138</f>
        <v>0</v>
      </c>
      <c r="D109" s="59">
        <f>SUMIFS('Постоянные затраты'!$H:$H,'Постоянные затраты'!$G:$G,"&lt;="&amp;$B109,'Постоянные затраты'!$D:$D,D$5)</f>
        <v>0</v>
      </c>
      <c r="E109" s="59">
        <f>SUMIFS('Постоянные затраты'!$H:$H,'Постоянные затраты'!$G:$G,"&lt;="&amp;$B109,'Постоянные затраты'!$D:$D,E$5)</f>
        <v>0</v>
      </c>
      <c r="F109" s="59">
        <f>SUMIFS('Постоянные затраты'!$H:$H,'Постоянные затраты'!$G:$G,"&lt;="&amp;$B109,'Постоянные затраты'!$D:$D,F$5)</f>
        <v>0</v>
      </c>
      <c r="G109" s="59">
        <f>SUMIFS('Постоянные затраты'!$H:$H,'Постоянные затраты'!$G:$G,"&lt;="&amp;$B109,'Постоянные затраты'!$D:$D,G$5)</f>
        <v>0</v>
      </c>
      <c r="H109" s="59">
        <f>SUMIFS('Постоянные затраты'!$H:$H,'Постоянные затраты'!$G:$G,"&lt;="&amp;$B109,'Постоянные затраты'!$D:$D,H$5)</f>
        <v>0</v>
      </c>
      <c r="I109" s="59">
        <f t="shared" si="1"/>
        <v>0</v>
      </c>
    </row>
    <row r="110" spans="2:9" x14ac:dyDescent="0.25">
      <c r="B110" s="59">
        <f>'Пропускная способность'!C139</f>
        <v>0</v>
      </c>
      <c r="C110" s="59">
        <f>'Пропускная способность'!E139</f>
        <v>0</v>
      </c>
      <c r="D110" s="59">
        <f>SUMIFS('Постоянные затраты'!$H:$H,'Постоянные затраты'!$G:$G,"&lt;="&amp;$B110,'Постоянные затраты'!$D:$D,D$5)</f>
        <v>0</v>
      </c>
      <c r="E110" s="59">
        <f>SUMIFS('Постоянные затраты'!$H:$H,'Постоянные затраты'!$G:$G,"&lt;="&amp;$B110,'Постоянные затраты'!$D:$D,E$5)</f>
        <v>0</v>
      </c>
      <c r="F110" s="59">
        <f>SUMIFS('Постоянные затраты'!$H:$H,'Постоянные затраты'!$G:$G,"&lt;="&amp;$B110,'Постоянные затраты'!$D:$D,F$5)</f>
        <v>0</v>
      </c>
      <c r="G110" s="59">
        <f>SUMIFS('Постоянные затраты'!$H:$H,'Постоянные затраты'!$G:$G,"&lt;="&amp;$B110,'Постоянные затраты'!$D:$D,G$5)</f>
        <v>0</v>
      </c>
      <c r="H110" s="59">
        <f>SUMIFS('Постоянные затраты'!$H:$H,'Постоянные затраты'!$G:$G,"&lt;="&amp;$B110,'Постоянные затраты'!$D:$D,H$5)</f>
        <v>0</v>
      </c>
      <c r="I110" s="59">
        <f t="shared" si="1"/>
        <v>0</v>
      </c>
    </row>
    <row r="111" spans="2:9" x14ac:dyDescent="0.25">
      <c r="B111" s="59">
        <f>'Пропускная способность'!C140</f>
        <v>0</v>
      </c>
      <c r="C111" s="59">
        <f>'Пропускная способность'!E140</f>
        <v>0</v>
      </c>
      <c r="D111" s="59">
        <f>SUMIFS('Постоянные затраты'!$H:$H,'Постоянные затраты'!$G:$G,"&lt;="&amp;$B111,'Постоянные затраты'!$D:$D,D$5)</f>
        <v>0</v>
      </c>
      <c r="E111" s="59">
        <f>SUMIFS('Постоянные затраты'!$H:$H,'Постоянные затраты'!$G:$G,"&lt;="&amp;$B111,'Постоянные затраты'!$D:$D,E$5)</f>
        <v>0</v>
      </c>
      <c r="F111" s="59">
        <f>SUMIFS('Постоянные затраты'!$H:$H,'Постоянные затраты'!$G:$G,"&lt;="&amp;$B111,'Постоянные затраты'!$D:$D,F$5)</f>
        <v>0</v>
      </c>
      <c r="G111" s="59">
        <f>SUMIFS('Постоянные затраты'!$H:$H,'Постоянные затраты'!$G:$G,"&lt;="&amp;$B111,'Постоянные затраты'!$D:$D,G$5)</f>
        <v>0</v>
      </c>
      <c r="H111" s="59">
        <f>SUMIFS('Постоянные затраты'!$H:$H,'Постоянные затраты'!$G:$G,"&lt;="&amp;$B111,'Постоянные затраты'!$D:$D,H$5)</f>
        <v>0</v>
      </c>
      <c r="I111" s="59">
        <f t="shared" si="1"/>
        <v>0</v>
      </c>
    </row>
    <row r="112" spans="2:9" x14ac:dyDescent="0.25">
      <c r="B112" s="59">
        <f>'Пропускная способность'!C141</f>
        <v>0</v>
      </c>
      <c r="C112" s="59">
        <f>'Пропускная способность'!E141</f>
        <v>0</v>
      </c>
      <c r="D112" s="59">
        <f>SUMIFS('Постоянные затраты'!$H:$H,'Постоянные затраты'!$G:$G,"&lt;="&amp;$B112,'Постоянные затраты'!$D:$D,D$5)</f>
        <v>0</v>
      </c>
      <c r="E112" s="59">
        <f>SUMIFS('Постоянные затраты'!$H:$H,'Постоянные затраты'!$G:$G,"&lt;="&amp;$B112,'Постоянные затраты'!$D:$D,E$5)</f>
        <v>0</v>
      </c>
      <c r="F112" s="59">
        <f>SUMIFS('Постоянные затраты'!$H:$H,'Постоянные затраты'!$G:$G,"&lt;="&amp;$B112,'Постоянные затраты'!$D:$D,F$5)</f>
        <v>0</v>
      </c>
      <c r="G112" s="59">
        <f>SUMIFS('Постоянные затраты'!$H:$H,'Постоянные затраты'!$G:$G,"&lt;="&amp;$B112,'Постоянные затраты'!$D:$D,G$5)</f>
        <v>0</v>
      </c>
      <c r="H112" s="59">
        <f>SUMIFS('Постоянные затраты'!$H:$H,'Постоянные затраты'!$G:$G,"&lt;="&amp;$B112,'Постоянные затраты'!$D:$D,H$5)</f>
        <v>0</v>
      </c>
      <c r="I112" s="59">
        <f t="shared" si="1"/>
        <v>0</v>
      </c>
    </row>
    <row r="113" spans="2:9" x14ac:dyDescent="0.25">
      <c r="B113" s="59">
        <f>'Пропускная способность'!C142</f>
        <v>0</v>
      </c>
      <c r="C113" s="59">
        <f>'Пропускная способность'!E142</f>
        <v>0</v>
      </c>
      <c r="D113" s="59">
        <f>SUMIFS('Постоянные затраты'!$H:$H,'Постоянные затраты'!$G:$G,"&lt;="&amp;$B113,'Постоянные затраты'!$D:$D,D$5)</f>
        <v>0</v>
      </c>
      <c r="E113" s="59">
        <f>SUMIFS('Постоянные затраты'!$H:$H,'Постоянные затраты'!$G:$G,"&lt;="&amp;$B113,'Постоянные затраты'!$D:$D,E$5)</f>
        <v>0</v>
      </c>
      <c r="F113" s="59">
        <f>SUMIFS('Постоянные затраты'!$H:$H,'Постоянные затраты'!$G:$G,"&lt;="&amp;$B113,'Постоянные затраты'!$D:$D,F$5)</f>
        <v>0</v>
      </c>
      <c r="G113" s="59">
        <f>SUMIFS('Постоянные затраты'!$H:$H,'Постоянные затраты'!$G:$G,"&lt;="&amp;$B113,'Постоянные затраты'!$D:$D,G$5)</f>
        <v>0</v>
      </c>
      <c r="H113" s="59">
        <f>SUMIFS('Постоянные затраты'!$H:$H,'Постоянные затраты'!$G:$G,"&lt;="&amp;$B113,'Постоянные затраты'!$D:$D,H$5)</f>
        <v>0</v>
      </c>
      <c r="I113" s="59">
        <f t="shared" si="1"/>
        <v>0</v>
      </c>
    </row>
    <row r="114" spans="2:9" x14ac:dyDescent="0.25">
      <c r="B114" s="59">
        <f>'Пропускная способность'!C143</f>
        <v>0</v>
      </c>
      <c r="C114" s="59">
        <f>'Пропускная способность'!E143</f>
        <v>0</v>
      </c>
      <c r="D114" s="59">
        <f>SUMIFS('Постоянные затраты'!$H:$H,'Постоянные затраты'!$G:$G,"&lt;="&amp;$B114,'Постоянные затраты'!$D:$D,D$5)</f>
        <v>0</v>
      </c>
      <c r="E114" s="59">
        <f>SUMIFS('Постоянные затраты'!$H:$H,'Постоянные затраты'!$G:$G,"&lt;="&amp;$B114,'Постоянные затраты'!$D:$D,E$5)</f>
        <v>0</v>
      </c>
      <c r="F114" s="59">
        <f>SUMIFS('Постоянные затраты'!$H:$H,'Постоянные затраты'!$G:$G,"&lt;="&amp;$B114,'Постоянные затраты'!$D:$D,F$5)</f>
        <v>0</v>
      </c>
      <c r="G114" s="59">
        <f>SUMIFS('Постоянные затраты'!$H:$H,'Постоянные затраты'!$G:$G,"&lt;="&amp;$B114,'Постоянные затраты'!$D:$D,G$5)</f>
        <v>0</v>
      </c>
      <c r="H114" s="59">
        <f>SUMIFS('Постоянные затраты'!$H:$H,'Постоянные затраты'!$G:$G,"&lt;="&amp;$B114,'Постоянные затраты'!$D:$D,H$5)</f>
        <v>0</v>
      </c>
      <c r="I114" s="59">
        <f t="shared" si="1"/>
        <v>0</v>
      </c>
    </row>
    <row r="115" spans="2:9" x14ac:dyDescent="0.25">
      <c r="B115" s="59">
        <f>'Пропускная способность'!C144</f>
        <v>0</v>
      </c>
      <c r="C115" s="59">
        <f>'Пропускная способность'!E144</f>
        <v>0</v>
      </c>
      <c r="D115" s="59">
        <f>SUMIFS('Постоянные затраты'!$H:$H,'Постоянные затраты'!$G:$G,"&lt;="&amp;$B115,'Постоянные затраты'!$D:$D,D$5)</f>
        <v>0</v>
      </c>
      <c r="E115" s="59">
        <f>SUMIFS('Постоянные затраты'!$H:$H,'Постоянные затраты'!$G:$G,"&lt;="&amp;$B115,'Постоянные затраты'!$D:$D,E$5)</f>
        <v>0</v>
      </c>
      <c r="F115" s="59">
        <f>SUMIFS('Постоянные затраты'!$H:$H,'Постоянные затраты'!$G:$G,"&lt;="&amp;$B115,'Постоянные затраты'!$D:$D,F$5)</f>
        <v>0</v>
      </c>
      <c r="G115" s="59">
        <f>SUMIFS('Постоянные затраты'!$H:$H,'Постоянные затраты'!$G:$G,"&lt;="&amp;$B115,'Постоянные затраты'!$D:$D,G$5)</f>
        <v>0</v>
      </c>
      <c r="H115" s="59">
        <f>SUMIFS('Постоянные затраты'!$H:$H,'Постоянные затраты'!$G:$G,"&lt;="&amp;$B115,'Постоянные затраты'!$D:$D,H$5)</f>
        <v>0</v>
      </c>
      <c r="I115" s="59">
        <f t="shared" si="1"/>
        <v>0</v>
      </c>
    </row>
    <row r="116" spans="2:9" x14ac:dyDescent="0.25">
      <c r="B116" s="59">
        <f>'Пропускная способность'!C145</f>
        <v>0</v>
      </c>
      <c r="C116" s="59">
        <f>'Пропускная способность'!E145</f>
        <v>0</v>
      </c>
      <c r="D116" s="59">
        <f>SUMIFS('Постоянные затраты'!$H:$H,'Постоянные затраты'!$G:$G,"&lt;="&amp;$B116,'Постоянные затраты'!$D:$D,D$5)</f>
        <v>0</v>
      </c>
      <c r="E116" s="59">
        <f>SUMIFS('Постоянные затраты'!$H:$H,'Постоянные затраты'!$G:$G,"&lt;="&amp;$B116,'Постоянные затраты'!$D:$D,E$5)</f>
        <v>0</v>
      </c>
      <c r="F116" s="59">
        <f>SUMIFS('Постоянные затраты'!$H:$H,'Постоянные затраты'!$G:$G,"&lt;="&amp;$B116,'Постоянные затраты'!$D:$D,F$5)</f>
        <v>0</v>
      </c>
      <c r="G116" s="59">
        <f>SUMIFS('Постоянные затраты'!$H:$H,'Постоянные затраты'!$G:$G,"&lt;="&amp;$B116,'Постоянные затраты'!$D:$D,G$5)</f>
        <v>0</v>
      </c>
      <c r="H116" s="59">
        <f>SUMIFS('Постоянные затраты'!$H:$H,'Постоянные затраты'!$G:$G,"&lt;="&amp;$B116,'Постоянные затраты'!$D:$D,H$5)</f>
        <v>0</v>
      </c>
      <c r="I116" s="59">
        <f t="shared" si="1"/>
        <v>0</v>
      </c>
    </row>
    <row r="117" spans="2:9" x14ac:dyDescent="0.25">
      <c r="B117" s="59">
        <f>'Пропускная способность'!C146</f>
        <v>0</v>
      </c>
      <c r="C117" s="59">
        <f>'Пропускная способность'!E146</f>
        <v>0</v>
      </c>
      <c r="D117" s="59">
        <f>SUMIFS('Постоянные затраты'!$H:$H,'Постоянные затраты'!$G:$G,"&lt;="&amp;$B117,'Постоянные затраты'!$D:$D,D$5)</f>
        <v>0</v>
      </c>
      <c r="E117" s="59">
        <f>SUMIFS('Постоянные затраты'!$H:$H,'Постоянные затраты'!$G:$G,"&lt;="&amp;$B117,'Постоянные затраты'!$D:$D,E$5)</f>
        <v>0</v>
      </c>
      <c r="F117" s="59">
        <f>SUMIFS('Постоянные затраты'!$H:$H,'Постоянные затраты'!$G:$G,"&lt;="&amp;$B117,'Постоянные затраты'!$D:$D,F$5)</f>
        <v>0</v>
      </c>
      <c r="G117" s="59">
        <f>SUMIFS('Постоянные затраты'!$H:$H,'Постоянные затраты'!$G:$G,"&lt;="&amp;$B117,'Постоянные затраты'!$D:$D,G$5)</f>
        <v>0</v>
      </c>
      <c r="H117" s="59">
        <f>SUMIFS('Постоянные затраты'!$H:$H,'Постоянные затраты'!$G:$G,"&lt;="&amp;$B117,'Постоянные затраты'!$D:$D,H$5)</f>
        <v>0</v>
      </c>
      <c r="I117" s="59">
        <f t="shared" si="1"/>
        <v>0</v>
      </c>
    </row>
    <row r="118" spans="2:9" x14ac:dyDescent="0.25">
      <c r="B118" s="59">
        <f>'Пропускная способность'!C147</f>
        <v>0</v>
      </c>
      <c r="C118" s="59">
        <f>'Пропускная способность'!E147</f>
        <v>0</v>
      </c>
      <c r="D118" s="59">
        <f>SUMIFS('Постоянные затраты'!$H:$H,'Постоянные затраты'!$G:$G,"&lt;="&amp;$B118,'Постоянные затраты'!$D:$D,D$5)</f>
        <v>0</v>
      </c>
      <c r="E118" s="59">
        <f>SUMIFS('Постоянные затраты'!$H:$H,'Постоянные затраты'!$G:$G,"&lt;="&amp;$B118,'Постоянные затраты'!$D:$D,E$5)</f>
        <v>0</v>
      </c>
      <c r="F118" s="59">
        <f>SUMIFS('Постоянные затраты'!$H:$H,'Постоянные затраты'!$G:$G,"&lt;="&amp;$B118,'Постоянные затраты'!$D:$D,F$5)</f>
        <v>0</v>
      </c>
      <c r="G118" s="59">
        <f>SUMIFS('Постоянные затраты'!$H:$H,'Постоянные затраты'!$G:$G,"&lt;="&amp;$B118,'Постоянные затраты'!$D:$D,G$5)</f>
        <v>0</v>
      </c>
      <c r="H118" s="59">
        <f>SUMIFS('Постоянные затраты'!$H:$H,'Постоянные затраты'!$G:$G,"&lt;="&amp;$B118,'Постоянные затраты'!$D:$D,H$5)</f>
        <v>0</v>
      </c>
      <c r="I118" s="59">
        <f t="shared" si="1"/>
        <v>0</v>
      </c>
    </row>
    <row r="119" spans="2:9" x14ac:dyDescent="0.25">
      <c r="B119" s="59">
        <f>'Пропускная способность'!C148</f>
        <v>0</v>
      </c>
      <c r="C119" s="59">
        <f>'Пропускная способность'!E148</f>
        <v>0</v>
      </c>
      <c r="D119" s="59">
        <f>SUMIFS('Постоянные затраты'!$H:$H,'Постоянные затраты'!$G:$G,"&lt;="&amp;$B119,'Постоянные затраты'!$D:$D,D$5)</f>
        <v>0</v>
      </c>
      <c r="E119" s="59">
        <f>SUMIFS('Постоянные затраты'!$H:$H,'Постоянные затраты'!$G:$G,"&lt;="&amp;$B119,'Постоянные затраты'!$D:$D,E$5)</f>
        <v>0</v>
      </c>
      <c r="F119" s="59">
        <f>SUMIFS('Постоянные затраты'!$H:$H,'Постоянные затраты'!$G:$G,"&lt;="&amp;$B119,'Постоянные затраты'!$D:$D,F$5)</f>
        <v>0</v>
      </c>
      <c r="G119" s="59">
        <f>SUMIFS('Постоянные затраты'!$H:$H,'Постоянные затраты'!$G:$G,"&lt;="&amp;$B119,'Постоянные затраты'!$D:$D,G$5)</f>
        <v>0</v>
      </c>
      <c r="H119" s="59">
        <f>SUMIFS('Постоянные затраты'!$H:$H,'Постоянные затраты'!$G:$G,"&lt;="&amp;$B119,'Постоянные затраты'!$D:$D,H$5)</f>
        <v>0</v>
      </c>
      <c r="I119" s="59">
        <f t="shared" si="1"/>
        <v>0</v>
      </c>
    </row>
    <row r="120" spans="2:9" x14ac:dyDescent="0.25">
      <c r="B120" s="59">
        <f>'Пропускная способность'!C149</f>
        <v>0</v>
      </c>
      <c r="C120" s="59">
        <f>'Пропускная способность'!E149</f>
        <v>0</v>
      </c>
      <c r="D120" s="59">
        <f>SUMIFS('Постоянные затраты'!$H:$H,'Постоянные затраты'!$G:$G,"&lt;="&amp;$B120,'Постоянные затраты'!$D:$D,D$5)</f>
        <v>0</v>
      </c>
      <c r="E120" s="59">
        <f>SUMIFS('Постоянные затраты'!$H:$H,'Постоянные затраты'!$G:$G,"&lt;="&amp;$B120,'Постоянные затраты'!$D:$D,E$5)</f>
        <v>0</v>
      </c>
      <c r="F120" s="59">
        <f>SUMIFS('Постоянные затраты'!$H:$H,'Постоянные затраты'!$G:$G,"&lt;="&amp;$B120,'Постоянные затраты'!$D:$D,F$5)</f>
        <v>0</v>
      </c>
      <c r="G120" s="59">
        <f>SUMIFS('Постоянные затраты'!$H:$H,'Постоянные затраты'!$G:$G,"&lt;="&amp;$B120,'Постоянные затраты'!$D:$D,G$5)</f>
        <v>0</v>
      </c>
      <c r="H120" s="59">
        <f>SUMIFS('Постоянные затраты'!$H:$H,'Постоянные затраты'!$G:$G,"&lt;="&amp;$B120,'Постоянные затраты'!$D:$D,H$5)</f>
        <v>0</v>
      </c>
      <c r="I120" s="59">
        <f t="shared" si="1"/>
        <v>0</v>
      </c>
    </row>
    <row r="121" spans="2:9" x14ac:dyDescent="0.25">
      <c r="B121" s="59">
        <f>'Пропускная способность'!C150</f>
        <v>0</v>
      </c>
      <c r="C121" s="59">
        <f>'Пропускная способность'!E150</f>
        <v>0</v>
      </c>
      <c r="D121" s="59">
        <f>SUMIFS('Постоянные затраты'!$H:$H,'Постоянные затраты'!$G:$G,"&lt;="&amp;$B121,'Постоянные затраты'!$D:$D,D$5)</f>
        <v>0</v>
      </c>
      <c r="E121" s="59">
        <f>SUMIFS('Постоянные затраты'!$H:$H,'Постоянные затраты'!$G:$G,"&lt;="&amp;$B121,'Постоянные затраты'!$D:$D,E$5)</f>
        <v>0</v>
      </c>
      <c r="F121" s="59">
        <f>SUMIFS('Постоянные затраты'!$H:$H,'Постоянные затраты'!$G:$G,"&lt;="&amp;$B121,'Постоянные затраты'!$D:$D,F$5)</f>
        <v>0</v>
      </c>
      <c r="G121" s="59">
        <f>SUMIFS('Постоянные затраты'!$H:$H,'Постоянные затраты'!$G:$G,"&lt;="&amp;$B121,'Постоянные затраты'!$D:$D,G$5)</f>
        <v>0</v>
      </c>
      <c r="H121" s="59">
        <f>SUMIFS('Постоянные затраты'!$H:$H,'Постоянные затраты'!$G:$G,"&lt;="&amp;$B121,'Постоянные затраты'!$D:$D,H$5)</f>
        <v>0</v>
      </c>
      <c r="I121" s="59">
        <f t="shared" si="1"/>
        <v>0</v>
      </c>
    </row>
    <row r="122" spans="2:9" x14ac:dyDescent="0.25">
      <c r="B122" s="59">
        <f>'Пропускная способность'!C151</f>
        <v>0</v>
      </c>
      <c r="C122" s="59">
        <f>'Пропускная способность'!E151</f>
        <v>0</v>
      </c>
      <c r="D122" s="59">
        <f>SUMIFS('Постоянные затраты'!$H:$H,'Постоянные затраты'!$G:$G,"&lt;="&amp;$B122,'Постоянные затраты'!$D:$D,D$5)</f>
        <v>0</v>
      </c>
      <c r="E122" s="59">
        <f>SUMIFS('Постоянные затраты'!$H:$H,'Постоянные затраты'!$G:$G,"&lt;="&amp;$B122,'Постоянные затраты'!$D:$D,E$5)</f>
        <v>0</v>
      </c>
      <c r="F122" s="59">
        <f>SUMIFS('Постоянные затраты'!$H:$H,'Постоянные затраты'!$G:$G,"&lt;="&amp;$B122,'Постоянные затраты'!$D:$D,F$5)</f>
        <v>0</v>
      </c>
      <c r="G122" s="59">
        <f>SUMIFS('Постоянные затраты'!$H:$H,'Постоянные затраты'!$G:$G,"&lt;="&amp;$B122,'Постоянные затраты'!$D:$D,G$5)</f>
        <v>0</v>
      </c>
      <c r="H122" s="59">
        <f>SUMIFS('Постоянные затраты'!$H:$H,'Постоянные затраты'!$G:$G,"&lt;="&amp;$B122,'Постоянные затраты'!$D:$D,H$5)</f>
        <v>0</v>
      </c>
      <c r="I122" s="59">
        <f t="shared" si="1"/>
        <v>0</v>
      </c>
    </row>
    <row r="123" spans="2:9" x14ac:dyDescent="0.25">
      <c r="B123" s="59">
        <f>'Пропускная способность'!C152</f>
        <v>0</v>
      </c>
      <c r="C123" s="59">
        <f>'Пропускная способность'!E152</f>
        <v>0</v>
      </c>
      <c r="D123" s="59">
        <f>SUMIFS('Постоянные затраты'!$H:$H,'Постоянные затраты'!$G:$G,"&lt;="&amp;$B123,'Постоянные затраты'!$D:$D,D$5)</f>
        <v>0</v>
      </c>
      <c r="E123" s="59">
        <f>SUMIFS('Постоянные затраты'!$H:$H,'Постоянные затраты'!$G:$G,"&lt;="&amp;$B123,'Постоянные затраты'!$D:$D,E$5)</f>
        <v>0</v>
      </c>
      <c r="F123" s="59">
        <f>SUMIFS('Постоянные затраты'!$H:$H,'Постоянные затраты'!$G:$G,"&lt;="&amp;$B123,'Постоянные затраты'!$D:$D,F$5)</f>
        <v>0</v>
      </c>
      <c r="G123" s="59">
        <f>SUMIFS('Постоянные затраты'!$H:$H,'Постоянные затраты'!$G:$G,"&lt;="&amp;$B123,'Постоянные затраты'!$D:$D,G$5)</f>
        <v>0</v>
      </c>
      <c r="H123" s="59">
        <f>SUMIFS('Постоянные затраты'!$H:$H,'Постоянные затраты'!$G:$G,"&lt;="&amp;$B123,'Постоянные затраты'!$D:$D,H$5)</f>
        <v>0</v>
      </c>
      <c r="I123" s="59">
        <f t="shared" si="1"/>
        <v>0</v>
      </c>
    </row>
    <row r="124" spans="2:9" x14ac:dyDescent="0.25">
      <c r="B124" s="59">
        <f>'Пропускная способность'!C153</f>
        <v>0</v>
      </c>
      <c r="C124" s="59">
        <f>'Пропускная способность'!E153</f>
        <v>0</v>
      </c>
      <c r="D124" s="59">
        <f>SUMIFS('Постоянные затраты'!$H:$H,'Постоянные затраты'!$G:$G,"&lt;="&amp;$B124,'Постоянные затраты'!$D:$D,D$5)</f>
        <v>0</v>
      </c>
      <c r="E124" s="59">
        <f>SUMIFS('Постоянные затраты'!$H:$H,'Постоянные затраты'!$G:$G,"&lt;="&amp;$B124,'Постоянные затраты'!$D:$D,E$5)</f>
        <v>0</v>
      </c>
      <c r="F124" s="59">
        <f>SUMIFS('Постоянные затраты'!$H:$H,'Постоянные затраты'!$G:$G,"&lt;="&amp;$B124,'Постоянные затраты'!$D:$D,F$5)</f>
        <v>0</v>
      </c>
      <c r="G124" s="59">
        <f>SUMIFS('Постоянные затраты'!$H:$H,'Постоянные затраты'!$G:$G,"&lt;="&amp;$B124,'Постоянные затраты'!$D:$D,G$5)</f>
        <v>0</v>
      </c>
      <c r="H124" s="59">
        <f>SUMIFS('Постоянные затраты'!$H:$H,'Постоянные затраты'!$G:$G,"&lt;="&amp;$B124,'Постоянные затраты'!$D:$D,H$5)</f>
        <v>0</v>
      </c>
      <c r="I124" s="59">
        <f t="shared" si="1"/>
        <v>0</v>
      </c>
    </row>
    <row r="125" spans="2:9" x14ac:dyDescent="0.25">
      <c r="B125" s="59">
        <f>'Пропускная способность'!C154</f>
        <v>0</v>
      </c>
      <c r="C125" s="59">
        <f>'Пропускная способность'!E154</f>
        <v>0</v>
      </c>
      <c r="D125" s="59">
        <f>SUMIFS('Постоянные затраты'!$H:$H,'Постоянные затраты'!$G:$G,"&lt;="&amp;$B125,'Постоянные затраты'!$D:$D,D$5)</f>
        <v>0</v>
      </c>
      <c r="E125" s="59">
        <f>SUMIFS('Постоянные затраты'!$H:$H,'Постоянные затраты'!$G:$G,"&lt;="&amp;$B125,'Постоянные затраты'!$D:$D,E$5)</f>
        <v>0</v>
      </c>
      <c r="F125" s="59">
        <f>SUMIFS('Постоянные затраты'!$H:$H,'Постоянные затраты'!$G:$G,"&lt;="&amp;$B125,'Постоянные затраты'!$D:$D,F$5)</f>
        <v>0</v>
      </c>
      <c r="G125" s="59">
        <f>SUMIFS('Постоянные затраты'!$H:$H,'Постоянные затраты'!$G:$G,"&lt;="&amp;$B125,'Постоянные затраты'!$D:$D,G$5)</f>
        <v>0</v>
      </c>
      <c r="H125" s="59">
        <f>SUMIFS('Постоянные затраты'!$H:$H,'Постоянные затраты'!$G:$G,"&lt;="&amp;$B125,'Постоянные затраты'!$D:$D,H$5)</f>
        <v>0</v>
      </c>
      <c r="I125" s="59">
        <f t="shared" si="1"/>
        <v>0</v>
      </c>
    </row>
    <row r="126" spans="2:9" x14ac:dyDescent="0.25">
      <c r="B126" s="59">
        <f>'Пропускная способность'!C155</f>
        <v>0</v>
      </c>
      <c r="C126" s="59">
        <f>'Пропускная способность'!E155</f>
        <v>0</v>
      </c>
      <c r="D126" s="59">
        <f>SUMIFS('Постоянные затраты'!$H:$H,'Постоянные затраты'!$G:$G,"&lt;="&amp;$B126,'Постоянные затраты'!$D:$D,D$5)</f>
        <v>0</v>
      </c>
      <c r="E126" s="59">
        <f>SUMIFS('Постоянные затраты'!$H:$H,'Постоянные затраты'!$G:$G,"&lt;="&amp;$B126,'Постоянные затраты'!$D:$D,E$5)</f>
        <v>0</v>
      </c>
      <c r="F126" s="59">
        <f>SUMIFS('Постоянные затраты'!$H:$H,'Постоянные затраты'!$G:$G,"&lt;="&amp;$B126,'Постоянные затраты'!$D:$D,F$5)</f>
        <v>0</v>
      </c>
      <c r="G126" s="59">
        <f>SUMIFS('Постоянные затраты'!$H:$H,'Постоянные затраты'!$G:$G,"&lt;="&amp;$B126,'Постоянные затраты'!$D:$D,G$5)</f>
        <v>0</v>
      </c>
      <c r="H126" s="59">
        <f>SUMIFS('Постоянные затраты'!$H:$H,'Постоянные затраты'!$G:$G,"&lt;="&amp;$B126,'Постоянные затраты'!$D:$D,H$5)</f>
        <v>0</v>
      </c>
      <c r="I126" s="59">
        <f t="shared" si="1"/>
        <v>0</v>
      </c>
    </row>
    <row r="127" spans="2:9" x14ac:dyDescent="0.25">
      <c r="B127" s="59">
        <f>'Пропускная способность'!C156</f>
        <v>0</v>
      </c>
      <c r="C127" s="59">
        <f>'Пропускная способность'!E156</f>
        <v>0</v>
      </c>
      <c r="D127" s="59">
        <f>SUMIFS('Постоянные затраты'!$H:$H,'Постоянные затраты'!$G:$G,"&lt;="&amp;$B127,'Постоянные затраты'!$D:$D,D$5)</f>
        <v>0</v>
      </c>
      <c r="E127" s="59">
        <f>SUMIFS('Постоянные затраты'!$H:$H,'Постоянные затраты'!$G:$G,"&lt;="&amp;$B127,'Постоянные затраты'!$D:$D,E$5)</f>
        <v>0</v>
      </c>
      <c r="F127" s="59">
        <f>SUMIFS('Постоянные затраты'!$H:$H,'Постоянные затраты'!$G:$G,"&lt;="&amp;$B127,'Постоянные затраты'!$D:$D,F$5)</f>
        <v>0</v>
      </c>
      <c r="G127" s="59">
        <f>SUMIFS('Постоянные затраты'!$H:$H,'Постоянные затраты'!$G:$G,"&lt;="&amp;$B127,'Постоянные затраты'!$D:$D,G$5)</f>
        <v>0</v>
      </c>
      <c r="H127" s="59">
        <f>SUMIFS('Постоянные затраты'!$H:$H,'Постоянные затраты'!$G:$G,"&lt;="&amp;$B127,'Постоянные затраты'!$D:$D,H$5)</f>
        <v>0</v>
      </c>
      <c r="I127" s="59">
        <f t="shared" si="1"/>
        <v>0</v>
      </c>
    </row>
    <row r="128" spans="2:9" x14ac:dyDescent="0.25">
      <c r="B128" s="59">
        <f>'Пропускная способность'!C157</f>
        <v>0</v>
      </c>
      <c r="C128" s="59">
        <f>'Пропускная способность'!E157</f>
        <v>0</v>
      </c>
      <c r="D128" s="59">
        <f>SUMIFS('Постоянные затраты'!$H:$H,'Постоянные затраты'!$G:$G,"&lt;="&amp;$B128,'Постоянные затраты'!$D:$D,D$5)</f>
        <v>0</v>
      </c>
      <c r="E128" s="59">
        <f>SUMIFS('Постоянные затраты'!$H:$H,'Постоянные затраты'!$G:$G,"&lt;="&amp;$B128,'Постоянные затраты'!$D:$D,E$5)</f>
        <v>0</v>
      </c>
      <c r="F128" s="59">
        <f>SUMIFS('Постоянные затраты'!$H:$H,'Постоянные затраты'!$G:$G,"&lt;="&amp;$B128,'Постоянные затраты'!$D:$D,F$5)</f>
        <v>0</v>
      </c>
      <c r="G128" s="59">
        <f>SUMIFS('Постоянные затраты'!$H:$H,'Постоянные затраты'!$G:$G,"&lt;="&amp;$B128,'Постоянные затраты'!$D:$D,G$5)</f>
        <v>0</v>
      </c>
      <c r="H128" s="59">
        <f>SUMIFS('Постоянные затраты'!$H:$H,'Постоянные затраты'!$G:$G,"&lt;="&amp;$B128,'Постоянные затраты'!$D:$D,H$5)</f>
        <v>0</v>
      </c>
      <c r="I128" s="59">
        <f t="shared" si="1"/>
        <v>0</v>
      </c>
    </row>
    <row r="129" spans="2:9" x14ac:dyDescent="0.25">
      <c r="B129" s="59">
        <f>'Пропускная способность'!C158</f>
        <v>0</v>
      </c>
      <c r="C129" s="59">
        <f>'Пропускная способность'!E158</f>
        <v>0</v>
      </c>
      <c r="D129" s="59">
        <f>SUMIFS('Постоянные затраты'!$H:$H,'Постоянные затраты'!$G:$G,"&lt;="&amp;$B129,'Постоянные затраты'!$D:$D,D$5)</f>
        <v>0</v>
      </c>
      <c r="E129" s="59">
        <f>SUMIFS('Постоянные затраты'!$H:$H,'Постоянные затраты'!$G:$G,"&lt;="&amp;$B129,'Постоянные затраты'!$D:$D,E$5)</f>
        <v>0</v>
      </c>
      <c r="F129" s="59">
        <f>SUMIFS('Постоянные затраты'!$H:$H,'Постоянные затраты'!$G:$G,"&lt;="&amp;$B129,'Постоянные затраты'!$D:$D,F$5)</f>
        <v>0</v>
      </c>
      <c r="G129" s="59">
        <f>SUMIFS('Постоянные затраты'!$H:$H,'Постоянные затраты'!$G:$G,"&lt;="&amp;$B129,'Постоянные затраты'!$D:$D,G$5)</f>
        <v>0</v>
      </c>
      <c r="H129" s="59">
        <f>SUMIFS('Постоянные затраты'!$H:$H,'Постоянные затраты'!$G:$G,"&lt;="&amp;$B129,'Постоянные затраты'!$D:$D,H$5)</f>
        <v>0</v>
      </c>
      <c r="I129" s="59">
        <f t="shared" si="1"/>
        <v>0</v>
      </c>
    </row>
    <row r="130" spans="2:9" x14ac:dyDescent="0.25">
      <c r="B130" s="59">
        <f>'Пропускная способность'!C159</f>
        <v>0</v>
      </c>
      <c r="C130" s="59">
        <f>'Пропускная способность'!E159</f>
        <v>0</v>
      </c>
      <c r="D130" s="59">
        <f>SUMIFS('Постоянные затраты'!$H:$H,'Постоянные затраты'!$G:$G,"&lt;="&amp;$B130,'Постоянные затраты'!$D:$D,D$5)</f>
        <v>0</v>
      </c>
      <c r="E130" s="59">
        <f>SUMIFS('Постоянные затраты'!$H:$H,'Постоянные затраты'!$G:$G,"&lt;="&amp;$B130,'Постоянные затраты'!$D:$D,E$5)</f>
        <v>0</v>
      </c>
      <c r="F130" s="59">
        <f>SUMIFS('Постоянные затраты'!$H:$H,'Постоянные затраты'!$G:$G,"&lt;="&amp;$B130,'Постоянные затраты'!$D:$D,F$5)</f>
        <v>0</v>
      </c>
      <c r="G130" s="59">
        <f>SUMIFS('Постоянные затраты'!$H:$H,'Постоянные затраты'!$G:$G,"&lt;="&amp;$B130,'Постоянные затраты'!$D:$D,G$5)</f>
        <v>0</v>
      </c>
      <c r="H130" s="59">
        <f>SUMIFS('Постоянные затраты'!$H:$H,'Постоянные затраты'!$G:$G,"&lt;="&amp;$B130,'Постоянные затраты'!$D:$D,H$5)</f>
        <v>0</v>
      </c>
      <c r="I130" s="59">
        <f t="shared" si="1"/>
        <v>0</v>
      </c>
    </row>
  </sheetData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D40602-267E-48C2-AB88-FB640BFC77DD}">
          <x14:formula1>
            <xm:f>'График проекта'!$K$13:$K$18</xm:f>
          </x14:formula1>
          <xm:sqref>D5:H5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</sheetPr>
  <dimension ref="B1:AL67"/>
  <sheetViews>
    <sheetView showGridLines="0" topLeftCell="E1" zoomScale="98" zoomScaleNormal="98" workbookViewId="0">
      <selection activeCell="Y6" sqref="Y6"/>
    </sheetView>
  </sheetViews>
  <sheetFormatPr defaultRowHeight="15" outlineLevelCol="1" x14ac:dyDescent="0.25"/>
  <cols>
    <col min="1" max="1" width="9.140625" style="1"/>
    <col min="2" max="2" width="8" style="1" customWidth="1"/>
    <col min="3" max="4" width="9.140625" style="1"/>
    <col min="5" max="5" width="10.7109375" style="110" bestFit="1" customWidth="1"/>
    <col min="6" max="6" width="10.7109375" style="1" customWidth="1"/>
    <col min="7" max="7" width="11.7109375" style="1" customWidth="1"/>
    <col min="8" max="8" width="10.7109375" style="1" customWidth="1"/>
    <col min="9" max="9" width="15.42578125" style="1" bestFit="1" customWidth="1"/>
    <col min="10" max="10" width="6.85546875" style="1" customWidth="1" outlineLevel="1"/>
    <col min="11" max="11" width="7.28515625" style="1" customWidth="1" outlineLevel="1"/>
    <col min="12" max="12" width="7.5703125" style="1" customWidth="1" outlineLevel="1"/>
    <col min="13" max="13" width="7.7109375" style="1" customWidth="1" outlineLevel="1"/>
    <col min="14" max="14" width="7.28515625" style="1" customWidth="1" outlineLevel="1"/>
    <col min="15" max="19" width="9.140625" style="1" customWidth="1" outlineLevel="1"/>
    <col min="20" max="20" width="12.5703125" style="1" bestFit="1" customWidth="1"/>
    <col min="21" max="21" width="14.140625" style="1" customWidth="1"/>
    <col min="22" max="22" width="3.28515625" style="1" customWidth="1"/>
    <col min="23" max="23" width="3.42578125" style="1" customWidth="1"/>
    <col min="24" max="24" width="29.140625" style="1" customWidth="1"/>
    <col min="25" max="25" width="17.85546875" style="1" customWidth="1"/>
    <col min="26" max="26" width="3.140625" style="1" customWidth="1"/>
    <col min="27" max="27" width="4.85546875" style="1" customWidth="1"/>
    <col min="28" max="28" width="3.7109375" style="1" customWidth="1"/>
    <col min="29" max="29" width="18.28515625" style="1" bestFit="1" customWidth="1"/>
    <col min="30" max="30" width="19.42578125" style="1" customWidth="1"/>
    <col min="31" max="31" width="24" style="1" customWidth="1"/>
    <col min="32" max="32" width="14.42578125" style="1" customWidth="1"/>
    <col min="33" max="36" width="12.5703125" style="1" bestFit="1" customWidth="1"/>
    <col min="37" max="40" width="11.140625" style="1" bestFit="1" customWidth="1"/>
    <col min="41" max="41" width="5" style="1" bestFit="1" customWidth="1"/>
    <col min="42" max="42" width="12.140625" style="1" bestFit="1" customWidth="1"/>
    <col min="43" max="16384" width="9.140625" style="1"/>
  </cols>
  <sheetData>
    <row r="1" spans="2:38" ht="21" x14ac:dyDescent="0.35">
      <c r="C1" s="109" t="s">
        <v>106</v>
      </c>
    </row>
    <row r="2" spans="2:38" ht="9" customHeight="1" x14ac:dyDescent="0.35">
      <c r="B2" s="95"/>
      <c r="C2" s="95"/>
      <c r="D2" s="95"/>
      <c r="E2" s="121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</row>
    <row r="3" spans="2:38" ht="15.75" thickBot="1" x14ac:dyDescent="0.3"/>
    <row r="4" spans="2:38" ht="16.5" thickTop="1" thickBot="1" x14ac:dyDescent="0.3">
      <c r="B4" s="113"/>
      <c r="C4" s="114"/>
      <c r="D4" s="113"/>
      <c r="E4" s="145"/>
      <c r="F4" s="113"/>
      <c r="G4" s="113"/>
      <c r="H4" s="113"/>
      <c r="I4" s="113"/>
      <c r="J4" s="68"/>
      <c r="K4" s="68"/>
      <c r="L4" s="68"/>
      <c r="M4" s="68"/>
      <c r="N4" s="68"/>
      <c r="O4" s="68">
        <v>0.5</v>
      </c>
      <c r="P4" s="68">
        <v>0.3</v>
      </c>
      <c r="Q4" s="68">
        <v>0.1</v>
      </c>
      <c r="R4" s="68">
        <v>0.05</v>
      </c>
      <c r="S4" s="68">
        <v>0.05</v>
      </c>
      <c r="T4" s="68"/>
      <c r="U4" s="68"/>
    </row>
    <row r="5" spans="2:38" ht="17.25" thickTop="1" thickBot="1" x14ac:dyDescent="0.3">
      <c r="B5" s="113"/>
      <c r="C5" s="114"/>
      <c r="D5" s="113"/>
      <c r="E5" s="145"/>
      <c r="F5" s="113"/>
      <c r="G5" s="113"/>
      <c r="H5" s="113"/>
      <c r="I5" s="113" t="s">
        <v>107</v>
      </c>
      <c r="J5" s="116">
        <v>1</v>
      </c>
      <c r="K5" s="116">
        <v>2</v>
      </c>
      <c r="L5" s="116">
        <v>3</v>
      </c>
      <c r="M5" s="116">
        <v>4</v>
      </c>
      <c r="N5" s="116">
        <v>5</v>
      </c>
      <c r="O5" s="116">
        <v>1</v>
      </c>
      <c r="P5" s="116">
        <v>2</v>
      </c>
      <c r="Q5" s="116">
        <v>3</v>
      </c>
      <c r="R5" s="116">
        <v>4</v>
      </c>
      <c r="S5" s="116">
        <v>5</v>
      </c>
      <c r="T5" s="116"/>
      <c r="U5" s="116"/>
      <c r="X5" s="1" t="s">
        <v>209</v>
      </c>
      <c r="Y5" s="90">
        <v>0</v>
      </c>
    </row>
    <row r="6" spans="2:38" s="71" customFormat="1" ht="39.75" thickTop="1" thickBot="1" x14ac:dyDescent="0.3">
      <c r="B6" s="120" t="s">
        <v>45</v>
      </c>
      <c r="C6" s="120" t="s">
        <v>7</v>
      </c>
      <c r="D6" s="120" t="s">
        <v>46</v>
      </c>
      <c r="E6" s="146" t="s">
        <v>47</v>
      </c>
      <c r="F6" s="120" t="s">
        <v>152</v>
      </c>
      <c r="G6" s="120" t="s">
        <v>167</v>
      </c>
      <c r="H6" s="120" t="s">
        <v>17</v>
      </c>
      <c r="I6" s="120" t="s">
        <v>92</v>
      </c>
      <c r="J6" s="120" t="s">
        <v>76</v>
      </c>
      <c r="K6" s="120" t="s">
        <v>76</v>
      </c>
      <c r="L6" s="120" t="s">
        <v>76</v>
      </c>
      <c r="M6" s="120" t="s">
        <v>76</v>
      </c>
      <c r="N6" s="120" t="s">
        <v>76</v>
      </c>
      <c r="O6" s="120" t="s">
        <v>95</v>
      </c>
      <c r="P6" s="120" t="s">
        <v>95</v>
      </c>
      <c r="Q6" s="120" t="s">
        <v>95</v>
      </c>
      <c r="R6" s="120" t="s">
        <v>95</v>
      </c>
      <c r="S6" s="120" t="s">
        <v>95</v>
      </c>
      <c r="T6" s="120" t="s">
        <v>96</v>
      </c>
      <c r="U6" s="120" t="s">
        <v>97</v>
      </c>
    </row>
    <row r="7" spans="2:38" ht="16.5" thickTop="1" thickBot="1" x14ac:dyDescent="0.3">
      <c r="B7" s="117">
        <v>0</v>
      </c>
      <c r="C7" s="117">
        <f>Настройки!$I$9</f>
        <v>2</v>
      </c>
      <c r="D7" s="117">
        <f>YEAR(E7)</f>
        <v>2018</v>
      </c>
      <c r="E7" s="147">
        <f>EOMONTH(Настройки!$I$7,B7)</f>
        <v>43159</v>
      </c>
      <c r="F7" s="117" t="str">
        <f>INDEX(Сезонность!$G$7:$G$18,MATCH(C7,Сезонность!$F$7:$F$18,0),1)</f>
        <v>Зима</v>
      </c>
      <c r="G7" s="117">
        <f>SUMIFS('План продаж'!$Q:$Q,'План продаж'!$B:$B,'Скидки и клиентская база'!$B7)</f>
        <v>0</v>
      </c>
      <c r="H7" s="117">
        <f t="shared" ref="H7:H38" si="0">INDEX(Кэф_Сезонности,MATCH(F7,Сезонность,0),1)</f>
        <v>1</v>
      </c>
      <c r="I7" s="117">
        <f>'Пропускная способность'!$D$5*INDEX(Коэф_Сценария,MATCH(Нстр_Сценарий,Сценарии,0),1)*H7*30*SUM('План продаж'!H6:J6)</f>
        <v>238.55421686746988</v>
      </c>
      <c r="J7" s="117">
        <f>B7</f>
        <v>0</v>
      </c>
      <c r="K7" s="117">
        <f t="shared" ref="K7:N26" si="1">J7+$Y$15</f>
        <v>2</v>
      </c>
      <c r="L7" s="117">
        <f t="shared" si="1"/>
        <v>4</v>
      </c>
      <c r="M7" s="117">
        <f t="shared" si="1"/>
        <v>6</v>
      </c>
      <c r="N7" s="117">
        <f t="shared" si="1"/>
        <v>8</v>
      </c>
      <c r="O7" s="117">
        <f>O$4*$I7</f>
        <v>119.27710843373494</v>
      </c>
      <c r="P7" s="117">
        <f t="shared" ref="P7:S22" si="2">P$4*$I7</f>
        <v>71.566265060240966</v>
      </c>
      <c r="Q7" s="117">
        <f t="shared" si="2"/>
        <v>23.85542168674699</v>
      </c>
      <c r="R7" s="117">
        <f t="shared" si="2"/>
        <v>11.927710843373495</v>
      </c>
      <c r="S7" s="117">
        <f t="shared" si="2"/>
        <v>11.927710843373495</v>
      </c>
      <c r="T7" s="117">
        <f>-$Y$5*O7*'Пропускная способность'!$G$20</f>
        <v>0</v>
      </c>
      <c r="U7" s="117">
        <f>-SUMIFS($S$6:$S$67,$N$6:$N$67,$B7)*'Пропускная способность'!$G$20</f>
        <v>0</v>
      </c>
      <c r="X7" s="274" t="s">
        <v>93</v>
      </c>
      <c r="Y7" s="274"/>
      <c r="AC7" s="66" t="s">
        <v>139</v>
      </c>
      <c r="AD7" s="66" t="s">
        <v>208</v>
      </c>
      <c r="AE7" s="66" t="s">
        <v>207</v>
      </c>
    </row>
    <row r="8" spans="2:38" x14ac:dyDescent="0.25">
      <c r="B8" s="117">
        <f>B7+1</f>
        <v>1</v>
      </c>
      <c r="C8" s="117">
        <f>C7+1</f>
        <v>3</v>
      </c>
      <c r="D8" s="117">
        <f t="shared" ref="D8:D67" si="3">YEAR(E8)</f>
        <v>2018</v>
      </c>
      <c r="E8" s="147">
        <f>EOMONTH(Настройки!$I$7,B8)</f>
        <v>43190</v>
      </c>
      <c r="F8" s="117" t="str">
        <f>INDEX(Сезонность!$G$7:$G$18,MATCH(C8,Сезонность!$F$7:$F$18,0),1)</f>
        <v>Весна</v>
      </c>
      <c r="G8" s="117">
        <f>SUMIFS('План продаж'!$Q:$Q,'План продаж'!$B:$B,'Скидки и клиентская база'!$B8)</f>
        <v>869399.99999999977</v>
      </c>
      <c r="H8" s="117">
        <f t="shared" si="0"/>
        <v>1</v>
      </c>
      <c r="I8" s="117">
        <f>'Пропускная способность'!$D$5*INDEX(Коэф_Сценария,MATCH(Нстр_Сценарий,Сценарии,0),1)*H8*30*SUM('План продаж'!H7:J7)</f>
        <v>238.55421686746988</v>
      </c>
      <c r="J8" s="117">
        <f t="shared" ref="J8:J67" si="4">B8</f>
        <v>1</v>
      </c>
      <c r="K8" s="117">
        <f t="shared" si="1"/>
        <v>3</v>
      </c>
      <c r="L8" s="117">
        <f t="shared" si="1"/>
        <v>5</v>
      </c>
      <c r="M8" s="117">
        <f t="shared" si="1"/>
        <v>7</v>
      </c>
      <c r="N8" s="117">
        <f t="shared" si="1"/>
        <v>9</v>
      </c>
      <c r="O8" s="117">
        <f>O$4*$I8</f>
        <v>119.27710843373494</v>
      </c>
      <c r="P8" s="117">
        <f t="shared" si="2"/>
        <v>71.566265060240966</v>
      </c>
      <c r="Q8" s="117">
        <f t="shared" si="2"/>
        <v>23.85542168674699</v>
      </c>
      <c r="R8" s="117">
        <f t="shared" si="2"/>
        <v>11.927710843373495</v>
      </c>
      <c r="S8" s="117">
        <f t="shared" si="2"/>
        <v>11.927710843373495</v>
      </c>
      <c r="T8" s="117">
        <f>-$Y$5*O8*'Пропускная способность'!$G$20</f>
        <v>0</v>
      </c>
      <c r="U8" s="117">
        <f>-SUMIFS($S$6:$S$67,$N$6:$N$67,$B8)*'Пропускная способность'!$G$20</f>
        <v>0</v>
      </c>
      <c r="W8" s="30"/>
      <c r="X8" s="115" t="s">
        <v>107</v>
      </c>
      <c r="Y8" s="115" t="s">
        <v>108</v>
      </c>
      <c r="Z8" s="32"/>
      <c r="AC8" s="118">
        <v>2017</v>
      </c>
      <c r="AD8" s="62">
        <v>0.27902476780185764</v>
      </c>
      <c r="AE8" s="66">
        <v>-825588.43373494002</v>
      </c>
    </row>
    <row r="9" spans="2:38" x14ac:dyDescent="0.25">
      <c r="B9" s="117">
        <f t="shared" ref="B9:C67" si="5">B8+1</f>
        <v>2</v>
      </c>
      <c r="C9" s="117">
        <f t="shared" si="5"/>
        <v>4</v>
      </c>
      <c r="D9" s="117">
        <f t="shared" si="3"/>
        <v>2018</v>
      </c>
      <c r="E9" s="147">
        <f>EOMONTH(Настройки!$I$7,B9)</f>
        <v>43220</v>
      </c>
      <c r="F9" s="117" t="str">
        <f>INDEX(Сезонность!$G$7:$G$18,MATCH(C9,Сезонность!$F$7:$F$18,0),1)</f>
        <v>Весна</v>
      </c>
      <c r="G9" s="117">
        <f>SUMIFS('План продаж'!$Q:$Q,'План продаж'!$B:$B,'Скидки и клиентская база'!$B9)</f>
        <v>1131066.6666666663</v>
      </c>
      <c r="H9" s="117">
        <f t="shared" si="0"/>
        <v>1</v>
      </c>
      <c r="I9" s="117">
        <f>'Пропускная способность'!$D$5*INDEX(Коэф_Сценария,MATCH(Нстр_Сценарий,Сценарии,0),1)*H9*30*SUM('План продаж'!H8:J8)</f>
        <v>238.55421686746988</v>
      </c>
      <c r="J9" s="117">
        <f t="shared" si="4"/>
        <v>2</v>
      </c>
      <c r="K9" s="117">
        <f t="shared" si="1"/>
        <v>4</v>
      </c>
      <c r="L9" s="117">
        <f t="shared" si="1"/>
        <v>6</v>
      </c>
      <c r="M9" s="117">
        <f t="shared" si="1"/>
        <v>8</v>
      </c>
      <c r="N9" s="117">
        <f t="shared" si="1"/>
        <v>10</v>
      </c>
      <c r="O9" s="117">
        <f t="shared" ref="O9:S28" si="6">O$4*$I9</f>
        <v>119.27710843373494</v>
      </c>
      <c r="P9" s="117">
        <f t="shared" si="2"/>
        <v>71.566265060240966</v>
      </c>
      <c r="Q9" s="117">
        <f t="shared" si="2"/>
        <v>23.85542168674699</v>
      </c>
      <c r="R9" s="117">
        <f t="shared" si="2"/>
        <v>11.927710843373495</v>
      </c>
      <c r="S9" s="117">
        <f t="shared" si="2"/>
        <v>11.927710843373495</v>
      </c>
      <c r="T9" s="117">
        <f>-$Y$5*O9*'Пропускная способность'!$G$20</f>
        <v>0</v>
      </c>
      <c r="U9" s="117">
        <f>-SUMIFS($S$6:$S$67,$N$6:$N$67,$B9)*'Пропускная способность'!$G$20</f>
        <v>0</v>
      </c>
      <c r="W9" s="33"/>
      <c r="X9" s="119">
        <v>1</v>
      </c>
      <c r="Y9" s="148">
        <v>0.5</v>
      </c>
      <c r="Z9" s="34"/>
      <c r="AC9" s="118">
        <v>2018</v>
      </c>
      <c r="AD9" s="62">
        <v>0.27902476780185764</v>
      </c>
      <c r="AE9" s="66">
        <v>-7925648.963855423</v>
      </c>
    </row>
    <row r="10" spans="2:38" x14ac:dyDescent="0.25">
      <c r="B10" s="117">
        <f t="shared" si="5"/>
        <v>3</v>
      </c>
      <c r="C10" s="117">
        <f t="shared" si="5"/>
        <v>5</v>
      </c>
      <c r="D10" s="117">
        <f t="shared" si="3"/>
        <v>2018</v>
      </c>
      <c r="E10" s="147">
        <f>EOMONTH(Настройки!$I$7,B10)</f>
        <v>43251</v>
      </c>
      <c r="F10" s="117" t="str">
        <f>INDEX(Сезонность!$G$7:$G$18,MATCH(C10,Сезонность!$F$7:$F$18,0),1)</f>
        <v>Весна</v>
      </c>
      <c r="G10" s="117">
        <f>SUMIFS('План продаж'!$Q:$Q,'План продаж'!$B:$B,'Скидки и клиентская база'!$B10)</f>
        <v>848299.99999999988</v>
      </c>
      <c r="H10" s="117">
        <f t="shared" si="0"/>
        <v>1</v>
      </c>
      <c r="I10" s="117">
        <f>'Пропускная способность'!$D$5*INDEX(Коэф_Сценария,MATCH(Нстр_Сценарий,Сценарии,0),1)*H10*30*SUM('План продаж'!H9:J9)</f>
        <v>238.55421686746988</v>
      </c>
      <c r="J10" s="117">
        <f t="shared" si="4"/>
        <v>3</v>
      </c>
      <c r="K10" s="117">
        <f t="shared" si="1"/>
        <v>5</v>
      </c>
      <c r="L10" s="117">
        <f t="shared" si="1"/>
        <v>7</v>
      </c>
      <c r="M10" s="117">
        <f t="shared" si="1"/>
        <v>9</v>
      </c>
      <c r="N10" s="117">
        <f t="shared" si="1"/>
        <v>11</v>
      </c>
      <c r="O10" s="117">
        <f t="shared" si="6"/>
        <v>119.27710843373494</v>
      </c>
      <c r="P10" s="117">
        <f t="shared" si="2"/>
        <v>71.566265060240966</v>
      </c>
      <c r="Q10" s="117">
        <f t="shared" si="2"/>
        <v>23.85542168674699</v>
      </c>
      <c r="R10" s="117">
        <f t="shared" si="2"/>
        <v>11.927710843373495</v>
      </c>
      <c r="S10" s="117">
        <f t="shared" si="2"/>
        <v>11.927710843373495</v>
      </c>
      <c r="T10" s="117">
        <f>-$Y$5*O10*'Пропускная способность'!$G$20</f>
        <v>0</v>
      </c>
      <c r="U10" s="117">
        <f>-SUMIFS($S$6:$S$67,$N$6:$N$67,$B10)*'Пропускная способность'!$G$20</f>
        <v>0</v>
      </c>
      <c r="W10" s="33"/>
      <c r="X10" s="119">
        <v>2</v>
      </c>
      <c r="Y10" s="148">
        <v>0.3</v>
      </c>
      <c r="Z10" s="34"/>
      <c r="AC10" s="118">
        <v>2019</v>
      </c>
      <c r="AD10" s="62">
        <v>0.27902476780185764</v>
      </c>
      <c r="AE10" s="66">
        <v>-21630416.963855427</v>
      </c>
    </row>
    <row r="11" spans="2:38" x14ac:dyDescent="0.25">
      <c r="B11" s="117">
        <f t="shared" si="5"/>
        <v>4</v>
      </c>
      <c r="C11" s="117">
        <f t="shared" si="5"/>
        <v>6</v>
      </c>
      <c r="D11" s="117">
        <f t="shared" si="3"/>
        <v>2018</v>
      </c>
      <c r="E11" s="147">
        <f>EOMONTH(Настройки!$I$7,B11)</f>
        <v>43281</v>
      </c>
      <c r="F11" s="117" t="str">
        <f>INDEX(Сезонность!$G$7:$G$18,MATCH(C11,Сезонность!$F$7:$F$18,0),1)</f>
        <v>Лето</v>
      </c>
      <c r="G11" s="117">
        <f>SUMIFS('План продаж'!$Q:$Q,'План продаж'!$B:$B,'Скидки и клиентская база'!$B11)</f>
        <v>848299.99999999988</v>
      </c>
      <c r="H11" s="117">
        <f t="shared" si="0"/>
        <v>1</v>
      </c>
      <c r="I11" s="117">
        <f>'Пропускная способность'!$D$5*INDEX(Коэф_Сценария,MATCH(Нстр_Сценарий,Сценарии,0),1)*H11*30*SUM('План продаж'!H10:J10)</f>
        <v>238.55421686746988</v>
      </c>
      <c r="J11" s="117">
        <f t="shared" si="4"/>
        <v>4</v>
      </c>
      <c r="K11" s="117">
        <f t="shared" si="1"/>
        <v>6</v>
      </c>
      <c r="L11" s="117">
        <f t="shared" si="1"/>
        <v>8</v>
      </c>
      <c r="M11" s="117">
        <f t="shared" si="1"/>
        <v>10</v>
      </c>
      <c r="N11" s="117">
        <f t="shared" si="1"/>
        <v>12</v>
      </c>
      <c r="O11" s="117">
        <f t="shared" si="6"/>
        <v>119.27710843373494</v>
      </c>
      <c r="P11" s="117">
        <f t="shared" si="2"/>
        <v>71.566265060240966</v>
      </c>
      <c r="Q11" s="117">
        <f t="shared" si="2"/>
        <v>23.85542168674699</v>
      </c>
      <c r="R11" s="117">
        <f t="shared" si="2"/>
        <v>11.927710843373495</v>
      </c>
      <c r="S11" s="117">
        <f t="shared" si="2"/>
        <v>11.927710843373495</v>
      </c>
      <c r="T11" s="117">
        <f>-$Y$5*O11*'Пропускная способность'!$G$20</f>
        <v>0</v>
      </c>
      <c r="U11" s="117">
        <f>-SUMIFS($S$6:$S$67,$N$6:$N$67,$B11)*'Пропускная способность'!$G$20</f>
        <v>0</v>
      </c>
      <c r="W11" s="33"/>
      <c r="X11" s="119">
        <v>3</v>
      </c>
      <c r="Y11" s="148">
        <v>0.1</v>
      </c>
      <c r="Z11" s="34"/>
      <c r="AC11" s="118">
        <v>2020</v>
      </c>
      <c r="AD11" s="62">
        <v>0.2790247678018577</v>
      </c>
      <c r="AE11" s="66">
        <v>-25758359.132530134</v>
      </c>
    </row>
    <row r="12" spans="2:38" x14ac:dyDescent="0.25">
      <c r="B12" s="117">
        <f t="shared" si="5"/>
        <v>5</v>
      </c>
      <c r="C12" s="117">
        <f>IF(C11=12,1,C11+1)</f>
        <v>7</v>
      </c>
      <c r="D12" s="117">
        <f t="shared" si="3"/>
        <v>2018</v>
      </c>
      <c r="E12" s="147">
        <f>EOMONTH(Настройки!$I$7,B12)</f>
        <v>43312</v>
      </c>
      <c r="F12" s="117" t="str">
        <f>INDEX(Сезонность!$G$7:$G$18,MATCH(C12,Сезонность!$F$7:$F$18,0),1)</f>
        <v>Лето</v>
      </c>
      <c r="G12" s="117">
        <f>SUMIFS('План продаж'!$Q:$Q,'План продаж'!$B:$B,'Скидки и клиентская база'!$B12)</f>
        <v>1266774.9999999998</v>
      </c>
      <c r="H12" s="117">
        <f t="shared" si="0"/>
        <v>1</v>
      </c>
      <c r="I12" s="117">
        <f>'Пропускная способность'!$D$5*INDEX(Коэф_Сценария,MATCH(Нстр_Сценарий,Сценарии,0),1)*H12*30*SUM('План продаж'!H11:J11)</f>
        <v>238.55421686746988</v>
      </c>
      <c r="J12" s="117">
        <f t="shared" si="4"/>
        <v>5</v>
      </c>
      <c r="K12" s="117">
        <f t="shared" si="1"/>
        <v>7</v>
      </c>
      <c r="L12" s="117">
        <f t="shared" si="1"/>
        <v>9</v>
      </c>
      <c r="M12" s="117">
        <f t="shared" si="1"/>
        <v>11</v>
      </c>
      <c r="N12" s="117">
        <f t="shared" si="1"/>
        <v>13</v>
      </c>
      <c r="O12" s="117">
        <f t="shared" si="6"/>
        <v>119.27710843373494</v>
      </c>
      <c r="P12" s="117">
        <f t="shared" si="2"/>
        <v>71.566265060240966</v>
      </c>
      <c r="Q12" s="117">
        <f t="shared" si="2"/>
        <v>23.85542168674699</v>
      </c>
      <c r="R12" s="117">
        <f t="shared" si="2"/>
        <v>11.927710843373495</v>
      </c>
      <c r="S12" s="117">
        <f t="shared" si="2"/>
        <v>11.927710843373495</v>
      </c>
      <c r="T12" s="117">
        <f>-$Y$5*O12*'Пропускная способность'!$G$20</f>
        <v>0</v>
      </c>
      <c r="U12" s="117">
        <f>-SUMIFS($S$6:$S$67,$N$6:$N$67,$B12)*'Пропускная способность'!$G$20</f>
        <v>0</v>
      </c>
      <c r="W12" s="33"/>
      <c r="X12" s="119">
        <v>4</v>
      </c>
      <c r="Y12" s="148">
        <v>0.05</v>
      </c>
      <c r="Z12" s="34"/>
      <c r="AC12" s="118">
        <v>2021</v>
      </c>
      <c r="AD12" s="62">
        <v>0.2790247678018577</v>
      </c>
      <c r="AE12" s="66">
        <v>-25758359.132530134</v>
      </c>
    </row>
    <row r="13" spans="2:38" x14ac:dyDescent="0.25">
      <c r="B13" s="117">
        <f t="shared" si="5"/>
        <v>6</v>
      </c>
      <c r="C13" s="117">
        <f t="shared" ref="C13:C67" si="7">IF(C12=12,1,C12+1)</f>
        <v>8</v>
      </c>
      <c r="D13" s="117">
        <f t="shared" si="3"/>
        <v>2018</v>
      </c>
      <c r="E13" s="147">
        <f>EOMONTH(Настройки!$I$7,B13)</f>
        <v>43343</v>
      </c>
      <c r="F13" s="117" t="str">
        <f>INDEX(Сезонность!$G$7:$G$18,MATCH(C13,Сезонность!$F$7:$F$18,0),1)</f>
        <v>Лето</v>
      </c>
      <c r="G13" s="117">
        <f>SUMIFS('План продаж'!$Q:$Q,'План продаж'!$B:$B,'Скидки и клиентская база'!$B13)</f>
        <v>1266774.9999999998</v>
      </c>
      <c r="H13" s="117">
        <f t="shared" si="0"/>
        <v>1</v>
      </c>
      <c r="I13" s="117">
        <f>'Пропускная способность'!$D$5*INDEX(Коэф_Сценария,MATCH(Нстр_Сценарий,Сценарии,0),1)*H13*30*SUM('План продаж'!H12:J12)</f>
        <v>238.55421686746988</v>
      </c>
      <c r="J13" s="117">
        <f t="shared" si="4"/>
        <v>6</v>
      </c>
      <c r="K13" s="117">
        <f t="shared" si="1"/>
        <v>8</v>
      </c>
      <c r="L13" s="117">
        <f t="shared" si="1"/>
        <v>10</v>
      </c>
      <c r="M13" s="117">
        <f t="shared" si="1"/>
        <v>12</v>
      </c>
      <c r="N13" s="117">
        <f t="shared" si="1"/>
        <v>14</v>
      </c>
      <c r="O13" s="117">
        <f t="shared" si="6"/>
        <v>119.27710843373494</v>
      </c>
      <c r="P13" s="117">
        <f t="shared" si="2"/>
        <v>71.566265060240966</v>
      </c>
      <c r="Q13" s="117">
        <f t="shared" si="2"/>
        <v>23.85542168674699</v>
      </c>
      <c r="R13" s="117">
        <f t="shared" si="2"/>
        <v>11.927710843373495</v>
      </c>
      <c r="S13" s="117">
        <f t="shared" si="2"/>
        <v>11.927710843373495</v>
      </c>
      <c r="T13" s="117">
        <f>-$Y$5*O13*'Пропускная способность'!$G$20</f>
        <v>0</v>
      </c>
      <c r="U13" s="117">
        <f>-SUMIFS($S$6:$S$67,$N$6:$N$67,$B13)*'Пропускная способность'!$G$20</f>
        <v>0</v>
      </c>
      <c r="W13" s="33"/>
      <c r="X13" s="119">
        <v>5</v>
      </c>
      <c r="Y13" s="148">
        <v>0.05</v>
      </c>
      <c r="Z13" s="34"/>
      <c r="AC13" s="118">
        <v>2022</v>
      </c>
      <c r="AD13" s="62">
        <v>0.2790247678018577</v>
      </c>
      <c r="AE13" s="66">
        <v>-17172239.421686754</v>
      </c>
    </row>
    <row r="14" spans="2:38" x14ac:dyDescent="0.25">
      <c r="B14" s="117">
        <f t="shared" si="5"/>
        <v>7</v>
      </c>
      <c r="C14" s="117">
        <f t="shared" si="7"/>
        <v>9</v>
      </c>
      <c r="D14" s="117">
        <f t="shared" si="3"/>
        <v>2018</v>
      </c>
      <c r="E14" s="147">
        <f>EOMONTH(Настройки!$I$7,B14)</f>
        <v>43373</v>
      </c>
      <c r="F14" s="117" t="str">
        <f>INDEX(Сезонность!$G$7:$G$18,MATCH(C14,Сезонность!$F$7:$F$18,0),1)</f>
        <v>Осень</v>
      </c>
      <c r="G14" s="117">
        <f>SUMIFS('План продаж'!$Q:$Q,'План продаж'!$B:$B,'Скидки и клиентская база'!$B14)</f>
        <v>1266774.9999999998</v>
      </c>
      <c r="H14" s="117">
        <f t="shared" si="0"/>
        <v>1</v>
      </c>
      <c r="I14" s="117">
        <f>'Пропускная способность'!$D$5*INDEX(Коэф_Сценария,MATCH(Нстр_Сценарий,Сценарии,0),1)*H14*30*SUM('План продаж'!H13:J13)</f>
        <v>238.55421686746988</v>
      </c>
      <c r="J14" s="117">
        <f t="shared" si="4"/>
        <v>7</v>
      </c>
      <c r="K14" s="117">
        <f t="shared" si="1"/>
        <v>9</v>
      </c>
      <c r="L14" s="117">
        <f t="shared" si="1"/>
        <v>11</v>
      </c>
      <c r="M14" s="117">
        <f t="shared" si="1"/>
        <v>13</v>
      </c>
      <c r="N14" s="117">
        <f t="shared" si="1"/>
        <v>15</v>
      </c>
      <c r="O14" s="117">
        <f t="shared" si="6"/>
        <v>119.27710843373494</v>
      </c>
      <c r="P14" s="117">
        <f t="shared" si="2"/>
        <v>71.566265060240966</v>
      </c>
      <c r="Q14" s="117">
        <f t="shared" si="2"/>
        <v>23.85542168674699</v>
      </c>
      <c r="R14" s="117">
        <f t="shared" si="2"/>
        <v>11.927710843373495</v>
      </c>
      <c r="S14" s="117">
        <f t="shared" si="2"/>
        <v>11.927710843373495</v>
      </c>
      <c r="T14" s="117">
        <f>-$Y$5*O14*'Пропускная способность'!$G$20</f>
        <v>0</v>
      </c>
      <c r="U14" s="117">
        <f>-SUMIFS($S$6:$S$67,$N$6:$N$67,$B14)*'Пропускная способность'!$G$20</f>
        <v>0</v>
      </c>
      <c r="W14" s="33"/>
      <c r="X14" s="27" t="s">
        <v>175</v>
      </c>
      <c r="Y14" s="28">
        <f>SUMPRODUCT($X$9:$X$13,$Y$9:$Y$13)</f>
        <v>1.85</v>
      </c>
      <c r="Z14" s="34"/>
      <c r="AC14" s="118" t="s">
        <v>138</v>
      </c>
      <c r="AD14" s="62">
        <v>0.27902476780185786</v>
      </c>
      <c r="AE14" s="66">
        <v>-99070612.048192814</v>
      </c>
    </row>
    <row r="15" spans="2:38" ht="30" x14ac:dyDescent="0.25">
      <c r="B15" s="117">
        <f t="shared" si="5"/>
        <v>8</v>
      </c>
      <c r="C15" s="117">
        <f t="shared" si="7"/>
        <v>10</v>
      </c>
      <c r="D15" s="117">
        <f t="shared" si="3"/>
        <v>2018</v>
      </c>
      <c r="E15" s="147">
        <f>EOMONTH(Настройки!$I$7,B15)</f>
        <v>43404</v>
      </c>
      <c r="F15" s="117" t="str">
        <f>INDEX(Сезонность!$G$7:$G$18,MATCH(C15,Сезонность!$F$7:$F$18,0),1)</f>
        <v>Осень</v>
      </c>
      <c r="G15" s="117">
        <f>SUMIFS('План продаж'!$Q:$Q,'План продаж'!$B:$B,'Скидки и клиентская база'!$B15)</f>
        <v>1689033.333333333</v>
      </c>
      <c r="H15" s="117">
        <f t="shared" si="0"/>
        <v>1</v>
      </c>
      <c r="I15" s="117">
        <f>'Пропускная способность'!$D$5*INDEX(Коэф_Сценария,MATCH(Нстр_Сценарий,Сценарии,0),1)*H15*30*SUM('План продаж'!H14:J14)</f>
        <v>238.55421686746988</v>
      </c>
      <c r="J15" s="117">
        <f t="shared" si="4"/>
        <v>8</v>
      </c>
      <c r="K15" s="117">
        <f t="shared" si="1"/>
        <v>10</v>
      </c>
      <c r="L15" s="117">
        <f t="shared" si="1"/>
        <v>12</v>
      </c>
      <c r="M15" s="117">
        <f t="shared" si="1"/>
        <v>14</v>
      </c>
      <c r="N15" s="117">
        <f t="shared" si="1"/>
        <v>16</v>
      </c>
      <c r="O15" s="117">
        <f t="shared" si="6"/>
        <v>119.27710843373494</v>
      </c>
      <c r="P15" s="117">
        <f t="shared" si="2"/>
        <v>71.566265060240966</v>
      </c>
      <c r="Q15" s="117">
        <f t="shared" si="2"/>
        <v>23.85542168674699</v>
      </c>
      <c r="R15" s="117">
        <f t="shared" si="2"/>
        <v>11.927710843373495</v>
      </c>
      <c r="S15" s="117">
        <f t="shared" si="2"/>
        <v>11.927710843373495</v>
      </c>
      <c r="T15" s="117">
        <f>-$Y$5*O15*'Пропускная способность'!$G$20</f>
        <v>0</v>
      </c>
      <c r="U15" s="117">
        <f>-SUMIFS($S$6:$S$67,$N$6:$N$67,$B15)*'Пропускная способность'!$G$20</f>
        <v>-25799.638554216868</v>
      </c>
      <c r="W15" s="33"/>
      <c r="X15" s="111" t="s">
        <v>94</v>
      </c>
      <c r="Y15" s="112">
        <v>2</v>
      </c>
      <c r="Z15" s="34"/>
    </row>
    <row r="16" spans="2:38" ht="15.75" thickBot="1" x14ac:dyDescent="0.3">
      <c r="B16" s="117">
        <f t="shared" si="5"/>
        <v>9</v>
      </c>
      <c r="C16" s="117">
        <f t="shared" si="7"/>
        <v>11</v>
      </c>
      <c r="D16" s="117">
        <f t="shared" si="3"/>
        <v>2018</v>
      </c>
      <c r="E16" s="147">
        <f>EOMONTH(Настройки!$I$7,B16)</f>
        <v>43434</v>
      </c>
      <c r="F16" s="117" t="str">
        <f>INDEX(Сезонность!$G$7:$G$18,MATCH(C16,Сезонность!$F$7:$F$18,0),1)</f>
        <v>Осень</v>
      </c>
      <c r="G16" s="117">
        <f>SUMIFS('План продаж'!$Q:$Q,'План продаж'!$B:$B,'Скидки и клиентская база'!$B16)</f>
        <v>1689033.333333333</v>
      </c>
      <c r="H16" s="117">
        <f t="shared" si="0"/>
        <v>1</v>
      </c>
      <c r="I16" s="117">
        <f>'Пропускная способность'!$D$5*INDEX(Коэф_Сценария,MATCH(Нстр_Сценарий,Сценарии,0),1)*H16*30*SUM('План продаж'!H15:J15)</f>
        <v>238.55421686746988</v>
      </c>
      <c r="J16" s="117">
        <f t="shared" si="4"/>
        <v>9</v>
      </c>
      <c r="K16" s="117">
        <f t="shared" si="1"/>
        <v>11</v>
      </c>
      <c r="L16" s="117">
        <f t="shared" si="1"/>
        <v>13</v>
      </c>
      <c r="M16" s="117">
        <f t="shared" si="1"/>
        <v>15</v>
      </c>
      <c r="N16" s="117">
        <f t="shared" si="1"/>
        <v>17</v>
      </c>
      <c r="O16" s="117">
        <f t="shared" si="6"/>
        <v>119.27710843373494</v>
      </c>
      <c r="P16" s="117">
        <f t="shared" si="2"/>
        <v>71.566265060240966</v>
      </c>
      <c r="Q16" s="117">
        <f t="shared" si="2"/>
        <v>23.85542168674699</v>
      </c>
      <c r="R16" s="117">
        <f t="shared" si="2"/>
        <v>11.927710843373495</v>
      </c>
      <c r="S16" s="117">
        <f t="shared" si="2"/>
        <v>11.927710843373495</v>
      </c>
      <c r="T16" s="117">
        <f>-$Y$5*O16*'Пропускная способность'!$G$20</f>
        <v>0</v>
      </c>
      <c r="U16" s="117">
        <f>-SUMIFS($S$6:$S$67,$N$6:$N$67,$B16)*'Пропускная способность'!$G$20</f>
        <v>-25799.638554216868</v>
      </c>
      <c r="W16" s="36"/>
      <c r="X16" s="37"/>
      <c r="Y16" s="37"/>
      <c r="Z16" s="38"/>
    </row>
    <row r="17" spans="2:21" x14ac:dyDescent="0.25">
      <c r="B17" s="117">
        <f t="shared" si="5"/>
        <v>10</v>
      </c>
      <c r="C17" s="117">
        <f t="shared" si="7"/>
        <v>12</v>
      </c>
      <c r="D17" s="117">
        <f t="shared" si="3"/>
        <v>2018</v>
      </c>
      <c r="E17" s="147">
        <f>EOMONTH(Настройки!$I$7,B17)</f>
        <v>43465</v>
      </c>
      <c r="F17" s="117" t="str">
        <f>INDEX(Сезонность!$G$7:$G$18,MATCH(C17,Сезонность!$F$7:$F$18,0),1)</f>
        <v>Зима</v>
      </c>
      <c r="G17" s="117">
        <f>SUMIFS('План продаж'!$Q:$Q,'План продаж'!$B:$B,'Скидки и клиентская база'!$B17)</f>
        <v>1932433.333333333</v>
      </c>
      <c r="H17" s="117">
        <f t="shared" si="0"/>
        <v>1</v>
      </c>
      <c r="I17" s="117">
        <f>'Пропускная способность'!$D$5*INDEX(Коэф_Сценария,MATCH(Нстр_Сценарий,Сценарии,0),1)*H17*30*SUM('План продаж'!H16:J16)</f>
        <v>238.55421686746988</v>
      </c>
      <c r="J17" s="117">
        <f t="shared" si="4"/>
        <v>10</v>
      </c>
      <c r="K17" s="117">
        <f t="shared" si="1"/>
        <v>12</v>
      </c>
      <c r="L17" s="117">
        <f t="shared" si="1"/>
        <v>14</v>
      </c>
      <c r="M17" s="117">
        <f t="shared" si="1"/>
        <v>16</v>
      </c>
      <c r="N17" s="117">
        <f t="shared" si="1"/>
        <v>18</v>
      </c>
      <c r="O17" s="117">
        <f t="shared" si="6"/>
        <v>119.27710843373494</v>
      </c>
      <c r="P17" s="117">
        <f t="shared" si="2"/>
        <v>71.566265060240966</v>
      </c>
      <c r="Q17" s="117">
        <f t="shared" si="2"/>
        <v>23.85542168674699</v>
      </c>
      <c r="R17" s="117">
        <f t="shared" si="2"/>
        <v>11.927710843373495</v>
      </c>
      <c r="S17" s="117">
        <f t="shared" si="2"/>
        <v>11.927710843373495</v>
      </c>
      <c r="T17" s="117">
        <f>-$Y$5*O17*'Пропускная способность'!$G$20</f>
        <v>0</v>
      </c>
      <c r="U17" s="117">
        <f>-SUMIFS($S$6:$S$67,$N$6:$N$67,$B17)*'Пропускная способность'!$G$20</f>
        <v>-25799.638554216868</v>
      </c>
    </row>
    <row r="18" spans="2:21" x14ac:dyDescent="0.25">
      <c r="B18" s="117">
        <f t="shared" si="5"/>
        <v>11</v>
      </c>
      <c r="C18" s="117">
        <f t="shared" si="7"/>
        <v>1</v>
      </c>
      <c r="D18" s="117">
        <f t="shared" si="3"/>
        <v>2019</v>
      </c>
      <c r="E18" s="147">
        <f>EOMONTH(Настройки!$I$7,B18)</f>
        <v>43496</v>
      </c>
      <c r="F18" s="117" t="str">
        <f>INDEX(Сезонность!$G$7:$G$18,MATCH(C18,Сезонность!$F$7:$F$18,0),1)</f>
        <v>Зима</v>
      </c>
      <c r="G18" s="117">
        <f>SUMIFS('План продаж'!$Q:$Q,'План продаж'!$B:$B,'Скидки и клиентская база'!$B18)</f>
        <v>1932433.333333333</v>
      </c>
      <c r="H18" s="117">
        <f t="shared" si="0"/>
        <v>1</v>
      </c>
      <c r="I18" s="117">
        <f>'Пропускная способность'!$D$5*INDEX(Коэф_Сценария,MATCH(Нстр_Сценарий,Сценарии,0),1)*H18*30*SUM('План продаж'!H17:J17)</f>
        <v>238.55421686746988</v>
      </c>
      <c r="J18" s="117">
        <f t="shared" si="4"/>
        <v>11</v>
      </c>
      <c r="K18" s="117">
        <f t="shared" si="1"/>
        <v>13</v>
      </c>
      <c r="L18" s="117">
        <f t="shared" si="1"/>
        <v>15</v>
      </c>
      <c r="M18" s="117">
        <f t="shared" si="1"/>
        <v>17</v>
      </c>
      <c r="N18" s="117">
        <f t="shared" si="1"/>
        <v>19</v>
      </c>
      <c r="O18" s="117">
        <f t="shared" si="6"/>
        <v>119.27710843373494</v>
      </c>
      <c r="P18" s="117">
        <f t="shared" si="2"/>
        <v>71.566265060240966</v>
      </c>
      <c r="Q18" s="117">
        <f t="shared" si="2"/>
        <v>23.85542168674699</v>
      </c>
      <c r="R18" s="117">
        <f t="shared" si="2"/>
        <v>11.927710843373495</v>
      </c>
      <c r="S18" s="117">
        <f t="shared" si="2"/>
        <v>11.927710843373495</v>
      </c>
      <c r="T18" s="117">
        <f>-$Y$5*O18*'Пропускная способность'!$G$20</f>
        <v>0</v>
      </c>
      <c r="U18" s="117">
        <f>-SUMIFS($S$6:$S$67,$N$6:$N$67,$B18)*'Пропускная способность'!$G$20</f>
        <v>-25799.638554216868</v>
      </c>
    </row>
    <row r="19" spans="2:21" x14ac:dyDescent="0.25">
      <c r="B19" s="117">
        <f t="shared" si="5"/>
        <v>12</v>
      </c>
      <c r="C19" s="117">
        <f t="shared" si="7"/>
        <v>2</v>
      </c>
      <c r="D19" s="117">
        <f t="shared" si="3"/>
        <v>2019</v>
      </c>
      <c r="E19" s="147">
        <f>EOMONTH(Настройки!$I$7,B19)</f>
        <v>43524</v>
      </c>
      <c r="F19" s="117" t="str">
        <f>INDEX(Сезонность!$G$7:$G$18,MATCH(C19,Сезонность!$F$7:$F$18,0),1)</f>
        <v>Зима</v>
      </c>
      <c r="G19" s="117">
        <f>SUMIFS('План продаж'!$Q:$Q,'План продаж'!$B:$B,'Скидки и клиентская база'!$B19)</f>
        <v>1932433.333333333</v>
      </c>
      <c r="H19" s="117">
        <f t="shared" si="0"/>
        <v>1</v>
      </c>
      <c r="I19" s="117">
        <f>'Пропускная способность'!$D$5*INDEX(Коэф_Сценария,MATCH(Нстр_Сценарий,Сценарии,0),1)*H19*30*SUM('План продаж'!H18:J18)</f>
        <v>238.55421686746988</v>
      </c>
      <c r="J19" s="117">
        <f t="shared" si="4"/>
        <v>12</v>
      </c>
      <c r="K19" s="117">
        <f t="shared" si="1"/>
        <v>14</v>
      </c>
      <c r="L19" s="117">
        <f t="shared" si="1"/>
        <v>16</v>
      </c>
      <c r="M19" s="117">
        <f t="shared" si="1"/>
        <v>18</v>
      </c>
      <c r="N19" s="117">
        <f t="shared" si="1"/>
        <v>20</v>
      </c>
      <c r="O19" s="117">
        <f t="shared" si="6"/>
        <v>119.27710843373494</v>
      </c>
      <c r="P19" s="117">
        <f t="shared" si="2"/>
        <v>71.566265060240966</v>
      </c>
      <c r="Q19" s="117">
        <f t="shared" si="2"/>
        <v>23.85542168674699</v>
      </c>
      <c r="R19" s="117">
        <f t="shared" si="2"/>
        <v>11.927710843373495</v>
      </c>
      <c r="S19" s="117">
        <f t="shared" si="2"/>
        <v>11.927710843373495</v>
      </c>
      <c r="T19" s="117">
        <f>-$Y$5*O19*'Пропускная способность'!$G$20</f>
        <v>0</v>
      </c>
      <c r="U19" s="117">
        <f>-SUMIFS($S$6:$S$67,$N$6:$N$67,$B19)*'Пропускная способность'!$G$20</f>
        <v>-25799.638554216868</v>
      </c>
    </row>
    <row r="20" spans="2:21" x14ac:dyDescent="0.25">
      <c r="B20" s="117">
        <f t="shared" si="5"/>
        <v>13</v>
      </c>
      <c r="C20" s="117">
        <f t="shared" si="7"/>
        <v>3</v>
      </c>
      <c r="D20" s="117">
        <f t="shared" si="3"/>
        <v>2019</v>
      </c>
      <c r="E20" s="147">
        <f>EOMONTH(Настройки!$I$7,B20)</f>
        <v>43555</v>
      </c>
      <c r="F20" s="117" t="str">
        <f>INDEX(Сезонность!$G$7:$G$18,MATCH(C20,Сезонность!$F$7:$F$18,0),1)</f>
        <v>Весна</v>
      </c>
      <c r="G20" s="117">
        <f>SUMIFS('План продаж'!$Q:$Q,'План продаж'!$B:$B,'Скидки и клиентская база'!$B20)</f>
        <v>1932433.333333333</v>
      </c>
      <c r="H20" s="117">
        <f t="shared" si="0"/>
        <v>1</v>
      </c>
      <c r="I20" s="117">
        <f>'Пропускная способность'!$D$5*INDEX(Коэф_Сценария,MATCH(Нстр_Сценарий,Сценарии,0),1)*H20*30*SUM('План продаж'!H19:J19)</f>
        <v>238.55421686746988</v>
      </c>
      <c r="J20" s="117">
        <f t="shared" si="4"/>
        <v>13</v>
      </c>
      <c r="K20" s="117">
        <f t="shared" si="1"/>
        <v>15</v>
      </c>
      <c r="L20" s="117">
        <f t="shared" si="1"/>
        <v>17</v>
      </c>
      <c r="M20" s="117">
        <f t="shared" si="1"/>
        <v>19</v>
      </c>
      <c r="N20" s="117">
        <f t="shared" si="1"/>
        <v>21</v>
      </c>
      <c r="O20" s="117">
        <f t="shared" si="6"/>
        <v>119.27710843373494</v>
      </c>
      <c r="P20" s="117">
        <f t="shared" si="2"/>
        <v>71.566265060240966</v>
      </c>
      <c r="Q20" s="117">
        <f t="shared" si="2"/>
        <v>23.85542168674699</v>
      </c>
      <c r="R20" s="117">
        <f t="shared" si="2"/>
        <v>11.927710843373495</v>
      </c>
      <c r="S20" s="117">
        <f t="shared" si="2"/>
        <v>11.927710843373495</v>
      </c>
      <c r="T20" s="117">
        <f>-$Y$5*O20*'Пропускная способность'!$G$20</f>
        <v>0</v>
      </c>
      <c r="U20" s="117">
        <f>-SUMIFS($S$6:$S$67,$N$6:$N$67,$B20)*'Пропускная способность'!$G$20</f>
        <v>-25799.638554216868</v>
      </c>
    </row>
    <row r="21" spans="2:21" x14ac:dyDescent="0.25">
      <c r="B21" s="117">
        <f t="shared" si="5"/>
        <v>14</v>
      </c>
      <c r="C21" s="117">
        <f t="shared" si="7"/>
        <v>4</v>
      </c>
      <c r="D21" s="117">
        <f t="shared" si="3"/>
        <v>2019</v>
      </c>
      <c r="E21" s="147">
        <f>EOMONTH(Настройки!$I$7,B21)</f>
        <v>43585</v>
      </c>
      <c r="F21" s="117" t="str">
        <f>INDEX(Сезонность!$G$7:$G$18,MATCH(C21,Сезонность!$F$7:$F$18,0),1)</f>
        <v>Весна</v>
      </c>
      <c r="G21" s="117">
        <f>SUMIFS('План продаж'!$Q:$Q,'План продаж'!$B:$B,'Скидки и клиентская база'!$B21)</f>
        <v>1932433.333333333</v>
      </c>
      <c r="H21" s="117">
        <f t="shared" si="0"/>
        <v>1</v>
      </c>
      <c r="I21" s="117">
        <f>'Пропускная способность'!$D$5*INDEX(Коэф_Сценария,MATCH(Нстр_Сценарий,Сценарии,0),1)*H21*30*SUM('План продаж'!H20:J20)</f>
        <v>238.55421686746988</v>
      </c>
      <c r="J21" s="117">
        <f t="shared" si="4"/>
        <v>14</v>
      </c>
      <c r="K21" s="117">
        <f t="shared" si="1"/>
        <v>16</v>
      </c>
      <c r="L21" s="117">
        <f t="shared" si="1"/>
        <v>18</v>
      </c>
      <c r="M21" s="117">
        <f t="shared" si="1"/>
        <v>20</v>
      </c>
      <c r="N21" s="117">
        <f t="shared" si="1"/>
        <v>22</v>
      </c>
      <c r="O21" s="117">
        <f t="shared" si="6"/>
        <v>119.27710843373494</v>
      </c>
      <c r="P21" s="117">
        <f t="shared" si="2"/>
        <v>71.566265060240966</v>
      </c>
      <c r="Q21" s="117">
        <f t="shared" si="2"/>
        <v>23.85542168674699</v>
      </c>
      <c r="R21" s="117">
        <f t="shared" si="2"/>
        <v>11.927710843373495</v>
      </c>
      <c r="S21" s="117">
        <f t="shared" si="2"/>
        <v>11.927710843373495</v>
      </c>
      <c r="T21" s="117">
        <f>-$Y$5*O21*'Пропускная способность'!$G$20</f>
        <v>0</v>
      </c>
      <c r="U21" s="117">
        <f>-SUMIFS($S$6:$S$67,$N$6:$N$67,$B21)*'Пропускная способность'!$G$20</f>
        <v>-25799.638554216868</v>
      </c>
    </row>
    <row r="22" spans="2:21" x14ac:dyDescent="0.25">
      <c r="B22" s="117">
        <f t="shared" si="5"/>
        <v>15</v>
      </c>
      <c r="C22" s="117">
        <f t="shared" si="7"/>
        <v>5</v>
      </c>
      <c r="D22" s="117">
        <f t="shared" si="3"/>
        <v>2019</v>
      </c>
      <c r="E22" s="147">
        <f>EOMONTH(Настройки!$I$7,B22)</f>
        <v>43616</v>
      </c>
      <c r="F22" s="117" t="str">
        <f>INDEX(Сезонность!$G$7:$G$18,MATCH(C22,Сезонность!$F$7:$F$18,0),1)</f>
        <v>Весна</v>
      </c>
      <c r="G22" s="117">
        <f>SUMIFS('План продаж'!$Q:$Q,'План продаж'!$B:$B,'Скидки и клиентская база'!$B22)</f>
        <v>1688449.9999999995</v>
      </c>
      <c r="H22" s="117">
        <f t="shared" si="0"/>
        <v>1</v>
      </c>
      <c r="I22" s="117">
        <f>'Пропускная способность'!$D$5*INDEX(Коэф_Сценария,MATCH(Нстр_Сценарий,Сценарии,0),1)*H22*30*SUM('План продаж'!H21:J21)</f>
        <v>238.55421686746988</v>
      </c>
      <c r="J22" s="117">
        <f t="shared" si="4"/>
        <v>15</v>
      </c>
      <c r="K22" s="117">
        <f t="shared" si="1"/>
        <v>17</v>
      </c>
      <c r="L22" s="117">
        <f t="shared" si="1"/>
        <v>19</v>
      </c>
      <c r="M22" s="117">
        <f t="shared" si="1"/>
        <v>21</v>
      </c>
      <c r="N22" s="117">
        <f t="shared" si="1"/>
        <v>23</v>
      </c>
      <c r="O22" s="117">
        <f t="shared" si="6"/>
        <v>119.27710843373494</v>
      </c>
      <c r="P22" s="117">
        <f t="shared" si="2"/>
        <v>71.566265060240966</v>
      </c>
      <c r="Q22" s="117">
        <f t="shared" si="2"/>
        <v>23.85542168674699</v>
      </c>
      <c r="R22" s="117">
        <f t="shared" si="2"/>
        <v>11.927710843373495</v>
      </c>
      <c r="S22" s="117">
        <f t="shared" si="2"/>
        <v>11.927710843373495</v>
      </c>
      <c r="T22" s="117">
        <f>-$Y$5*O22*'Пропускная способность'!$G$20</f>
        <v>0</v>
      </c>
      <c r="U22" s="117">
        <f>-SUMIFS($S$6:$S$67,$N$6:$N$67,$B22)*'Пропускная способность'!$G$20</f>
        <v>-25799.638554216868</v>
      </c>
    </row>
    <row r="23" spans="2:21" x14ac:dyDescent="0.25">
      <c r="B23" s="117">
        <f t="shared" si="5"/>
        <v>16</v>
      </c>
      <c r="C23" s="117">
        <f t="shared" si="7"/>
        <v>6</v>
      </c>
      <c r="D23" s="117">
        <f t="shared" si="3"/>
        <v>2019</v>
      </c>
      <c r="E23" s="147">
        <f>EOMONTH(Настройки!$I$7,B23)</f>
        <v>43646</v>
      </c>
      <c r="F23" s="117" t="str">
        <f>INDEX(Сезонность!$G$7:$G$18,MATCH(C23,Сезонность!$F$7:$F$18,0),1)</f>
        <v>Лето</v>
      </c>
      <c r="G23" s="117">
        <f>SUMIFS('План продаж'!$Q:$Q,'План продаж'!$B:$B,'Скидки и клиентская база'!$B23)</f>
        <v>1688449.9999999995</v>
      </c>
      <c r="H23" s="117">
        <f t="shared" si="0"/>
        <v>1</v>
      </c>
      <c r="I23" s="117">
        <f>'Пропускная способность'!$D$5*INDEX(Коэф_Сценария,MATCH(Нстр_Сценарий,Сценарии,0),1)*H23*30*SUM('План продаж'!H22:J22)</f>
        <v>238.55421686746988</v>
      </c>
      <c r="J23" s="117">
        <f t="shared" si="4"/>
        <v>16</v>
      </c>
      <c r="K23" s="117">
        <f t="shared" si="1"/>
        <v>18</v>
      </c>
      <c r="L23" s="117">
        <f t="shared" si="1"/>
        <v>20</v>
      </c>
      <c r="M23" s="117">
        <f t="shared" si="1"/>
        <v>22</v>
      </c>
      <c r="N23" s="117">
        <f t="shared" si="1"/>
        <v>24</v>
      </c>
      <c r="O23" s="117">
        <f t="shared" si="6"/>
        <v>119.27710843373494</v>
      </c>
      <c r="P23" s="117">
        <f t="shared" si="6"/>
        <v>71.566265060240966</v>
      </c>
      <c r="Q23" s="117">
        <f t="shared" si="6"/>
        <v>23.85542168674699</v>
      </c>
      <c r="R23" s="117">
        <f t="shared" si="6"/>
        <v>11.927710843373495</v>
      </c>
      <c r="S23" s="117">
        <f t="shared" si="6"/>
        <v>11.927710843373495</v>
      </c>
      <c r="T23" s="117">
        <f>-$Y$5*O23*'Пропускная способность'!$G$20</f>
        <v>0</v>
      </c>
      <c r="U23" s="117">
        <f>-SUMIFS($S$6:$S$67,$N$6:$N$67,$B23)*'Пропускная способность'!$G$20</f>
        <v>-25799.638554216868</v>
      </c>
    </row>
    <row r="24" spans="2:21" x14ac:dyDescent="0.25">
      <c r="B24" s="117">
        <f t="shared" si="5"/>
        <v>17</v>
      </c>
      <c r="C24" s="117">
        <f t="shared" si="7"/>
        <v>7</v>
      </c>
      <c r="D24" s="117">
        <f t="shared" si="3"/>
        <v>2019</v>
      </c>
      <c r="E24" s="147">
        <f>EOMONTH(Настройки!$I$7,B24)</f>
        <v>43677</v>
      </c>
      <c r="F24" s="117" t="str">
        <f>INDEX(Сезонность!$G$7:$G$18,MATCH(C24,Сезонность!$F$7:$F$18,0),1)</f>
        <v>Лето</v>
      </c>
      <c r="G24" s="117">
        <f>SUMIFS('План продаж'!$Q:$Q,'План продаж'!$B:$B,'Скидки и клиентская база'!$B24)</f>
        <v>1688449.9999999995</v>
      </c>
      <c r="H24" s="117">
        <f t="shared" si="0"/>
        <v>1</v>
      </c>
      <c r="I24" s="117">
        <f>'Пропускная способность'!$D$5*INDEX(Коэф_Сценария,MATCH(Нстр_Сценарий,Сценарии,0),1)*H24*30*SUM('План продаж'!H23:J23)</f>
        <v>238.55421686746988</v>
      </c>
      <c r="J24" s="117">
        <f t="shared" si="4"/>
        <v>17</v>
      </c>
      <c r="K24" s="117">
        <f t="shared" si="1"/>
        <v>19</v>
      </c>
      <c r="L24" s="117">
        <f t="shared" si="1"/>
        <v>21</v>
      </c>
      <c r="M24" s="117">
        <f t="shared" si="1"/>
        <v>23</v>
      </c>
      <c r="N24" s="117">
        <f t="shared" si="1"/>
        <v>25</v>
      </c>
      <c r="O24" s="117">
        <f t="shared" si="6"/>
        <v>119.27710843373494</v>
      </c>
      <c r="P24" s="117">
        <f t="shared" si="6"/>
        <v>71.566265060240966</v>
      </c>
      <c r="Q24" s="117">
        <f t="shared" si="6"/>
        <v>23.85542168674699</v>
      </c>
      <c r="R24" s="117">
        <f t="shared" si="6"/>
        <v>11.927710843373495</v>
      </c>
      <c r="S24" s="117">
        <f t="shared" si="6"/>
        <v>11.927710843373495</v>
      </c>
      <c r="T24" s="117">
        <f>-$Y$5*O24*'Пропускная способность'!$G$20</f>
        <v>0</v>
      </c>
      <c r="U24" s="117">
        <f>-SUMIFS($S$6:$S$67,$N$6:$N$67,$B24)*'Пропускная способность'!$G$20</f>
        <v>-25799.638554216868</v>
      </c>
    </row>
    <row r="25" spans="2:21" x14ac:dyDescent="0.25">
      <c r="B25" s="117">
        <f t="shared" si="5"/>
        <v>18</v>
      </c>
      <c r="C25" s="117">
        <f t="shared" si="7"/>
        <v>8</v>
      </c>
      <c r="D25" s="117">
        <f t="shared" si="3"/>
        <v>2019</v>
      </c>
      <c r="E25" s="147">
        <f>EOMONTH(Настройки!$I$7,B25)</f>
        <v>43708</v>
      </c>
      <c r="F25" s="117" t="str">
        <f>INDEX(Сезонность!$G$7:$G$18,MATCH(C25,Сезонность!$F$7:$F$18,0),1)</f>
        <v>Лето</v>
      </c>
      <c r="G25" s="117">
        <f>SUMIFS('План продаж'!$Q:$Q,'План продаж'!$B:$B,'Скидки и клиентская база'!$B25)</f>
        <v>1688449.9999999995</v>
      </c>
      <c r="H25" s="117">
        <f t="shared" si="0"/>
        <v>1</v>
      </c>
      <c r="I25" s="117">
        <f>'Пропускная способность'!$D$5*INDEX(Коэф_Сценария,MATCH(Нстр_Сценарий,Сценарии,0),1)*H25*30*SUM('План продаж'!H24:J24)</f>
        <v>238.55421686746988</v>
      </c>
      <c r="J25" s="117">
        <f t="shared" si="4"/>
        <v>18</v>
      </c>
      <c r="K25" s="117">
        <f t="shared" si="1"/>
        <v>20</v>
      </c>
      <c r="L25" s="117">
        <f t="shared" si="1"/>
        <v>22</v>
      </c>
      <c r="M25" s="117">
        <f t="shared" si="1"/>
        <v>24</v>
      </c>
      <c r="N25" s="117">
        <f t="shared" si="1"/>
        <v>26</v>
      </c>
      <c r="O25" s="117">
        <f t="shared" si="6"/>
        <v>119.27710843373494</v>
      </c>
      <c r="P25" s="117">
        <f t="shared" si="6"/>
        <v>71.566265060240966</v>
      </c>
      <c r="Q25" s="117">
        <f t="shared" si="6"/>
        <v>23.85542168674699</v>
      </c>
      <c r="R25" s="117">
        <f t="shared" si="6"/>
        <v>11.927710843373495</v>
      </c>
      <c r="S25" s="117">
        <f t="shared" si="6"/>
        <v>11.927710843373495</v>
      </c>
      <c r="T25" s="117">
        <f>-$Y$5*O25*'Пропускная способность'!$G$20</f>
        <v>0</v>
      </c>
      <c r="U25" s="117">
        <f>-SUMIFS($S$6:$S$67,$N$6:$N$67,$B25)*'Пропускная способность'!$G$20</f>
        <v>-25799.638554216868</v>
      </c>
    </row>
    <row r="26" spans="2:21" x14ac:dyDescent="0.25">
      <c r="B26" s="117">
        <f t="shared" si="5"/>
        <v>19</v>
      </c>
      <c r="C26" s="117">
        <f t="shared" si="7"/>
        <v>9</v>
      </c>
      <c r="D26" s="117">
        <f t="shared" si="3"/>
        <v>2019</v>
      </c>
      <c r="E26" s="147">
        <f>EOMONTH(Настройки!$I$7,B26)</f>
        <v>43738</v>
      </c>
      <c r="F26" s="117" t="str">
        <f>INDEX(Сезонность!$G$7:$G$18,MATCH(C26,Сезонность!$F$7:$F$18,0),1)</f>
        <v>Осень</v>
      </c>
      <c r="G26" s="117">
        <f>SUMIFS('План продаж'!$Q:$Q,'План продаж'!$B:$B,'Скидки и клиентская база'!$B26)</f>
        <v>1688449.9999999995</v>
      </c>
      <c r="H26" s="117">
        <f t="shared" si="0"/>
        <v>1</v>
      </c>
      <c r="I26" s="117">
        <f>'Пропускная способность'!$D$5*INDEX(Коэф_Сценария,MATCH(Нстр_Сценарий,Сценарии,0),1)*H26*30*SUM('План продаж'!H25:J25)</f>
        <v>238.55421686746988</v>
      </c>
      <c r="J26" s="117">
        <f t="shared" si="4"/>
        <v>19</v>
      </c>
      <c r="K26" s="117">
        <f t="shared" si="1"/>
        <v>21</v>
      </c>
      <c r="L26" s="117">
        <f t="shared" si="1"/>
        <v>23</v>
      </c>
      <c r="M26" s="117">
        <f t="shared" si="1"/>
        <v>25</v>
      </c>
      <c r="N26" s="117">
        <f t="shared" si="1"/>
        <v>27</v>
      </c>
      <c r="O26" s="117">
        <f t="shared" si="6"/>
        <v>119.27710843373494</v>
      </c>
      <c r="P26" s="117">
        <f t="shared" si="6"/>
        <v>71.566265060240966</v>
      </c>
      <c r="Q26" s="117">
        <f t="shared" si="6"/>
        <v>23.85542168674699</v>
      </c>
      <c r="R26" s="117">
        <f t="shared" si="6"/>
        <v>11.927710843373495</v>
      </c>
      <c r="S26" s="117">
        <f t="shared" si="6"/>
        <v>11.927710843373495</v>
      </c>
      <c r="T26" s="117">
        <f>-$Y$5*O26*'Пропускная способность'!$G$20</f>
        <v>0</v>
      </c>
      <c r="U26" s="117">
        <f>-SUMIFS($S$6:$S$67,$N$6:$N$67,$B26)*'Пропускная способность'!$G$20</f>
        <v>-25799.638554216868</v>
      </c>
    </row>
    <row r="27" spans="2:21" x14ac:dyDescent="0.25">
      <c r="B27" s="117">
        <f t="shared" si="5"/>
        <v>20</v>
      </c>
      <c r="C27" s="117">
        <f t="shared" si="7"/>
        <v>10</v>
      </c>
      <c r="D27" s="117">
        <f t="shared" si="3"/>
        <v>2019</v>
      </c>
      <c r="E27" s="147">
        <f>EOMONTH(Настройки!$I$7,B27)</f>
        <v>43769</v>
      </c>
      <c r="F27" s="117" t="str">
        <f>INDEX(Сезонность!$G$7:$G$18,MATCH(C27,Сезонность!$F$7:$F$18,0),1)</f>
        <v>Осень</v>
      </c>
      <c r="G27" s="117">
        <f>SUMIFS('План продаж'!$Q:$Q,'План продаж'!$B:$B,'Скидки и клиентская база'!$B27)</f>
        <v>2251266.666666666</v>
      </c>
      <c r="H27" s="117">
        <f t="shared" si="0"/>
        <v>1</v>
      </c>
      <c r="I27" s="117">
        <f>'Пропускная способность'!$D$5*INDEX(Коэф_Сценария,MATCH(Нстр_Сценарий,Сценарии,0),1)*H27*30*SUM('План продаж'!H26:J26)</f>
        <v>238.55421686746988</v>
      </c>
      <c r="J27" s="117">
        <f t="shared" si="4"/>
        <v>20</v>
      </c>
      <c r="K27" s="117">
        <f t="shared" ref="K27:N46" si="8">J27+$Y$15</f>
        <v>22</v>
      </c>
      <c r="L27" s="117">
        <f t="shared" si="8"/>
        <v>24</v>
      </c>
      <c r="M27" s="117">
        <f t="shared" si="8"/>
        <v>26</v>
      </c>
      <c r="N27" s="117">
        <f t="shared" si="8"/>
        <v>28</v>
      </c>
      <c r="O27" s="117">
        <f t="shared" si="6"/>
        <v>119.27710843373494</v>
      </c>
      <c r="P27" s="117">
        <f t="shared" si="6"/>
        <v>71.566265060240966</v>
      </c>
      <c r="Q27" s="117">
        <f t="shared" si="6"/>
        <v>23.85542168674699</v>
      </c>
      <c r="R27" s="117">
        <f t="shared" si="6"/>
        <v>11.927710843373495</v>
      </c>
      <c r="S27" s="117">
        <f t="shared" si="6"/>
        <v>11.927710843373495</v>
      </c>
      <c r="T27" s="117">
        <f>-$Y$5*O27*'Пропускная способность'!$G$20</f>
        <v>0</v>
      </c>
      <c r="U27" s="117">
        <f>-SUMIFS($S$6:$S$67,$N$6:$N$67,$B27)*'Пропускная способность'!$G$20</f>
        <v>-25799.638554216868</v>
      </c>
    </row>
    <row r="28" spans="2:21" x14ac:dyDescent="0.25">
      <c r="B28" s="117">
        <f t="shared" si="5"/>
        <v>21</v>
      </c>
      <c r="C28" s="117">
        <f t="shared" si="7"/>
        <v>11</v>
      </c>
      <c r="D28" s="117">
        <f t="shared" si="3"/>
        <v>2019</v>
      </c>
      <c r="E28" s="147">
        <f>EOMONTH(Настройки!$I$7,B28)</f>
        <v>43799</v>
      </c>
      <c r="F28" s="117" t="str">
        <f>INDEX(Сезонность!$G$7:$G$18,MATCH(C28,Сезонность!$F$7:$F$18,0),1)</f>
        <v>Осень</v>
      </c>
      <c r="G28" s="117">
        <f>SUMIFS('План продаж'!$Q:$Q,'План продаж'!$B:$B,'Скидки и клиентская база'!$B28)</f>
        <v>2251266.666666666</v>
      </c>
      <c r="H28" s="117">
        <f t="shared" si="0"/>
        <v>1</v>
      </c>
      <c r="I28" s="117">
        <f>'Пропускная способность'!$D$5*INDEX(Коэф_Сценария,MATCH(Нстр_Сценарий,Сценарии,0),1)*H28*30*SUM('План продаж'!H27:J27)</f>
        <v>238.55421686746988</v>
      </c>
      <c r="J28" s="117">
        <f t="shared" si="4"/>
        <v>21</v>
      </c>
      <c r="K28" s="117">
        <f t="shared" si="8"/>
        <v>23</v>
      </c>
      <c r="L28" s="117">
        <f t="shared" si="8"/>
        <v>25</v>
      </c>
      <c r="M28" s="117">
        <f t="shared" si="8"/>
        <v>27</v>
      </c>
      <c r="N28" s="117">
        <f t="shared" si="8"/>
        <v>29</v>
      </c>
      <c r="O28" s="117">
        <f t="shared" si="6"/>
        <v>119.27710843373494</v>
      </c>
      <c r="P28" s="117">
        <f t="shared" si="6"/>
        <v>71.566265060240966</v>
      </c>
      <c r="Q28" s="117">
        <f t="shared" si="6"/>
        <v>23.85542168674699</v>
      </c>
      <c r="R28" s="117">
        <f t="shared" si="6"/>
        <v>11.927710843373495</v>
      </c>
      <c r="S28" s="117">
        <f t="shared" si="6"/>
        <v>11.927710843373495</v>
      </c>
      <c r="T28" s="117">
        <f>-$Y$5*O28*'Пропускная способность'!$G$20</f>
        <v>0</v>
      </c>
      <c r="U28" s="117">
        <f>-SUMIFS($S$6:$S$67,$N$6:$N$67,$B28)*'Пропускная способность'!$G$20</f>
        <v>-25799.638554216868</v>
      </c>
    </row>
    <row r="29" spans="2:21" x14ac:dyDescent="0.25">
      <c r="B29" s="117">
        <f t="shared" si="5"/>
        <v>22</v>
      </c>
      <c r="C29" s="117">
        <f t="shared" si="7"/>
        <v>12</v>
      </c>
      <c r="D29" s="117">
        <f t="shared" si="3"/>
        <v>2019</v>
      </c>
      <c r="E29" s="147">
        <f>EOMONTH(Настройки!$I$7,B29)</f>
        <v>43830</v>
      </c>
      <c r="F29" s="117" t="str">
        <f>INDEX(Сезонность!$G$7:$G$18,MATCH(C29,Сезонность!$F$7:$F$18,0),1)</f>
        <v>Зима</v>
      </c>
      <c r="G29" s="117">
        <f>SUMIFS('План продаж'!$Q:$Q,'План продаж'!$B:$B,'Скидки и клиентская база'!$B29)</f>
        <v>2251266.666666666</v>
      </c>
      <c r="H29" s="117">
        <f t="shared" si="0"/>
        <v>1</v>
      </c>
      <c r="I29" s="117">
        <f>'Пропускная способность'!$D$5*INDEX(Коэф_Сценария,MATCH(Нстр_Сценарий,Сценарии,0),1)*H29*30*SUM('План продаж'!H28:J28)</f>
        <v>238.55421686746988</v>
      </c>
      <c r="J29" s="117">
        <f t="shared" si="4"/>
        <v>22</v>
      </c>
      <c r="K29" s="117">
        <f t="shared" si="8"/>
        <v>24</v>
      </c>
      <c r="L29" s="117">
        <f t="shared" si="8"/>
        <v>26</v>
      </c>
      <c r="M29" s="117">
        <f t="shared" si="8"/>
        <v>28</v>
      </c>
      <c r="N29" s="117">
        <f t="shared" si="8"/>
        <v>30</v>
      </c>
      <c r="O29" s="117">
        <f t="shared" ref="O29:S60" si="9">O$4*$I29</f>
        <v>119.27710843373494</v>
      </c>
      <c r="P29" s="117">
        <f t="shared" si="9"/>
        <v>71.566265060240966</v>
      </c>
      <c r="Q29" s="117">
        <f t="shared" si="9"/>
        <v>23.85542168674699</v>
      </c>
      <c r="R29" s="117">
        <f t="shared" si="9"/>
        <v>11.927710843373495</v>
      </c>
      <c r="S29" s="117">
        <f t="shared" si="9"/>
        <v>11.927710843373495</v>
      </c>
      <c r="T29" s="117">
        <f>-$Y$5*O29*'Пропускная способность'!$G$20</f>
        <v>0</v>
      </c>
      <c r="U29" s="117">
        <f>-SUMIFS($S$6:$S$67,$N$6:$N$67,$B29)*'Пропускная способность'!$G$20</f>
        <v>-25799.638554216868</v>
      </c>
    </row>
    <row r="30" spans="2:21" x14ac:dyDescent="0.25">
      <c r="B30" s="117">
        <f t="shared" si="5"/>
        <v>23</v>
      </c>
      <c r="C30" s="117">
        <f t="shared" si="7"/>
        <v>1</v>
      </c>
      <c r="D30" s="117">
        <f t="shared" si="3"/>
        <v>2020</v>
      </c>
      <c r="E30" s="147">
        <f>EOMONTH(Настройки!$I$7,B30)</f>
        <v>43861</v>
      </c>
      <c r="F30" s="117" t="str">
        <f>INDEX(Сезонность!$G$7:$G$18,MATCH(C30,Сезонность!$F$7:$F$18,0),1)</f>
        <v>Зима</v>
      </c>
      <c r="G30" s="117">
        <f>SUMIFS('План продаж'!$Q:$Q,'План продаж'!$B:$B,'Скидки и клиентская база'!$B30)</f>
        <v>2251266.666666666</v>
      </c>
      <c r="H30" s="117">
        <f t="shared" si="0"/>
        <v>1</v>
      </c>
      <c r="I30" s="117">
        <f>'Пропускная способность'!$D$5*INDEX(Коэф_Сценария,MATCH(Нстр_Сценарий,Сценарии,0),1)*H30*30*SUM('План продаж'!H29:J29)</f>
        <v>238.55421686746988</v>
      </c>
      <c r="J30" s="117">
        <f t="shared" si="4"/>
        <v>23</v>
      </c>
      <c r="K30" s="117">
        <f t="shared" si="8"/>
        <v>25</v>
      </c>
      <c r="L30" s="117">
        <f t="shared" si="8"/>
        <v>27</v>
      </c>
      <c r="M30" s="117">
        <f t="shared" si="8"/>
        <v>29</v>
      </c>
      <c r="N30" s="117">
        <f t="shared" si="8"/>
        <v>31</v>
      </c>
      <c r="O30" s="117">
        <f t="shared" si="9"/>
        <v>119.27710843373494</v>
      </c>
      <c r="P30" s="117">
        <f t="shared" si="9"/>
        <v>71.566265060240966</v>
      </c>
      <c r="Q30" s="117">
        <f t="shared" si="9"/>
        <v>23.85542168674699</v>
      </c>
      <c r="R30" s="117">
        <f t="shared" si="9"/>
        <v>11.927710843373495</v>
      </c>
      <c r="S30" s="117">
        <f t="shared" si="9"/>
        <v>11.927710843373495</v>
      </c>
      <c r="T30" s="117">
        <f>-$Y$5*O30*'Пропускная способность'!$G$20</f>
        <v>0</v>
      </c>
      <c r="U30" s="117">
        <f>-SUMIFS($S$6:$S$67,$N$6:$N$67,$B30)*'Пропускная способность'!$G$20</f>
        <v>-25799.638554216868</v>
      </c>
    </row>
    <row r="31" spans="2:21" x14ac:dyDescent="0.25">
      <c r="B31" s="117">
        <f t="shared" si="5"/>
        <v>24</v>
      </c>
      <c r="C31" s="117">
        <f t="shared" si="7"/>
        <v>2</v>
      </c>
      <c r="D31" s="117">
        <f t="shared" si="3"/>
        <v>2020</v>
      </c>
      <c r="E31" s="147">
        <f>EOMONTH(Настройки!$I$7,B31)</f>
        <v>43890</v>
      </c>
      <c r="F31" s="117" t="str">
        <f>INDEX(Сезонность!$G$7:$G$18,MATCH(C31,Сезонность!$F$7:$F$18,0),1)</f>
        <v>Зима</v>
      </c>
      <c r="G31" s="117">
        <f>SUMIFS('План продаж'!$Q:$Q,'План продаж'!$B:$B,'Скидки и клиентская база'!$B31)</f>
        <v>2251266.666666666</v>
      </c>
      <c r="H31" s="117">
        <f t="shared" si="0"/>
        <v>1</v>
      </c>
      <c r="I31" s="117">
        <f>'Пропускная способность'!$D$5*INDEX(Коэф_Сценария,MATCH(Нстр_Сценарий,Сценарии,0),1)*H31*30*SUM('План продаж'!H30:J30)</f>
        <v>238.55421686746988</v>
      </c>
      <c r="J31" s="117">
        <f t="shared" si="4"/>
        <v>24</v>
      </c>
      <c r="K31" s="117">
        <f t="shared" si="8"/>
        <v>26</v>
      </c>
      <c r="L31" s="117">
        <f t="shared" si="8"/>
        <v>28</v>
      </c>
      <c r="M31" s="117">
        <f t="shared" si="8"/>
        <v>30</v>
      </c>
      <c r="N31" s="117">
        <f t="shared" si="8"/>
        <v>32</v>
      </c>
      <c r="O31" s="117">
        <f t="shared" si="9"/>
        <v>119.27710843373494</v>
      </c>
      <c r="P31" s="117">
        <f t="shared" si="9"/>
        <v>71.566265060240966</v>
      </c>
      <c r="Q31" s="117">
        <f t="shared" si="9"/>
        <v>23.85542168674699</v>
      </c>
      <c r="R31" s="117">
        <f t="shared" si="9"/>
        <v>11.927710843373495</v>
      </c>
      <c r="S31" s="117">
        <f t="shared" si="9"/>
        <v>11.927710843373495</v>
      </c>
      <c r="T31" s="117">
        <f>-$Y$5*O31*'Пропускная способность'!$G$20</f>
        <v>0</v>
      </c>
      <c r="U31" s="117">
        <f>-SUMIFS($S$6:$S$67,$N$6:$N$67,$B31)*'Пропускная способность'!$G$20</f>
        <v>-25799.638554216868</v>
      </c>
    </row>
    <row r="32" spans="2:21" x14ac:dyDescent="0.25">
      <c r="B32" s="117">
        <f t="shared" si="5"/>
        <v>25</v>
      </c>
      <c r="C32" s="117">
        <f t="shared" si="7"/>
        <v>3</v>
      </c>
      <c r="D32" s="117">
        <f t="shared" si="3"/>
        <v>2020</v>
      </c>
      <c r="E32" s="147">
        <f>EOMONTH(Настройки!$I$7,B32)</f>
        <v>43921</v>
      </c>
      <c r="F32" s="117" t="str">
        <f>INDEX(Сезонность!$G$7:$G$18,MATCH(C32,Сезонность!$F$7:$F$18,0),1)</f>
        <v>Весна</v>
      </c>
      <c r="G32" s="117">
        <f>SUMIFS('План продаж'!$Q:$Q,'План продаж'!$B:$B,'Скидки и клиентская база'!$B32)</f>
        <v>2251266.666666666</v>
      </c>
      <c r="H32" s="117">
        <f t="shared" si="0"/>
        <v>1</v>
      </c>
      <c r="I32" s="117">
        <f>'Пропускная способность'!$D$5*INDEX(Коэф_Сценария,MATCH(Нстр_Сценарий,Сценарии,0),1)*H32*30*SUM('План продаж'!H31:J31)</f>
        <v>238.55421686746988</v>
      </c>
      <c r="J32" s="117">
        <f t="shared" si="4"/>
        <v>25</v>
      </c>
      <c r="K32" s="117">
        <f t="shared" si="8"/>
        <v>27</v>
      </c>
      <c r="L32" s="117">
        <f t="shared" si="8"/>
        <v>29</v>
      </c>
      <c r="M32" s="117">
        <f t="shared" si="8"/>
        <v>31</v>
      </c>
      <c r="N32" s="117">
        <f t="shared" si="8"/>
        <v>33</v>
      </c>
      <c r="O32" s="117">
        <f t="shared" si="9"/>
        <v>119.27710843373494</v>
      </c>
      <c r="P32" s="117">
        <f t="shared" si="9"/>
        <v>71.566265060240966</v>
      </c>
      <c r="Q32" s="117">
        <f t="shared" si="9"/>
        <v>23.85542168674699</v>
      </c>
      <c r="R32" s="117">
        <f t="shared" si="9"/>
        <v>11.927710843373495</v>
      </c>
      <c r="S32" s="117">
        <f t="shared" si="9"/>
        <v>11.927710843373495</v>
      </c>
      <c r="T32" s="117">
        <f>-$Y$5*O32*'Пропускная способность'!$G$20</f>
        <v>0</v>
      </c>
      <c r="U32" s="117">
        <f>-SUMIFS($S$6:$S$67,$N$6:$N$67,$B32)*'Пропускная способность'!$G$20</f>
        <v>-25799.638554216868</v>
      </c>
    </row>
    <row r="33" spans="2:21" x14ac:dyDescent="0.25">
      <c r="B33" s="117">
        <f t="shared" si="5"/>
        <v>26</v>
      </c>
      <c r="C33" s="117">
        <f t="shared" si="7"/>
        <v>4</v>
      </c>
      <c r="D33" s="117">
        <f t="shared" si="3"/>
        <v>2020</v>
      </c>
      <c r="E33" s="147">
        <f>EOMONTH(Настройки!$I$7,B33)</f>
        <v>43951</v>
      </c>
      <c r="F33" s="117" t="str">
        <f>INDEX(Сезонность!$G$7:$G$18,MATCH(C33,Сезонность!$F$7:$F$18,0),1)</f>
        <v>Весна</v>
      </c>
      <c r="G33" s="117">
        <f>SUMIFS('План продаж'!$Q:$Q,'План продаж'!$B:$B,'Скидки и клиентская база'!$B33)</f>
        <v>2251266.666666666</v>
      </c>
      <c r="H33" s="117">
        <f t="shared" si="0"/>
        <v>1</v>
      </c>
      <c r="I33" s="117">
        <f>'Пропускная способность'!$D$5*INDEX(Коэф_Сценария,MATCH(Нстр_Сценарий,Сценарии,0),1)*H33*30*SUM('План продаж'!H32:J32)</f>
        <v>238.55421686746988</v>
      </c>
      <c r="J33" s="117">
        <f t="shared" si="4"/>
        <v>26</v>
      </c>
      <c r="K33" s="117">
        <f t="shared" si="8"/>
        <v>28</v>
      </c>
      <c r="L33" s="117">
        <f t="shared" si="8"/>
        <v>30</v>
      </c>
      <c r="M33" s="117">
        <f t="shared" si="8"/>
        <v>32</v>
      </c>
      <c r="N33" s="117">
        <f t="shared" si="8"/>
        <v>34</v>
      </c>
      <c r="O33" s="117">
        <f t="shared" si="9"/>
        <v>119.27710843373494</v>
      </c>
      <c r="P33" s="117">
        <f t="shared" si="9"/>
        <v>71.566265060240966</v>
      </c>
      <c r="Q33" s="117">
        <f t="shared" si="9"/>
        <v>23.85542168674699</v>
      </c>
      <c r="R33" s="117">
        <f t="shared" si="9"/>
        <v>11.927710843373495</v>
      </c>
      <c r="S33" s="117">
        <f t="shared" si="9"/>
        <v>11.927710843373495</v>
      </c>
      <c r="T33" s="117">
        <f>-$Y$5*O33*'Пропускная способность'!$G$20</f>
        <v>0</v>
      </c>
      <c r="U33" s="117">
        <f>-SUMIFS($S$6:$S$67,$N$6:$N$67,$B33)*'Пропускная способность'!$G$20</f>
        <v>-25799.638554216868</v>
      </c>
    </row>
    <row r="34" spans="2:21" x14ac:dyDescent="0.25">
      <c r="B34" s="117">
        <f t="shared" si="5"/>
        <v>27</v>
      </c>
      <c r="C34" s="117">
        <f t="shared" si="7"/>
        <v>5</v>
      </c>
      <c r="D34" s="117">
        <f t="shared" si="3"/>
        <v>2020</v>
      </c>
      <c r="E34" s="147">
        <f>EOMONTH(Настройки!$I$7,B34)</f>
        <v>43982</v>
      </c>
      <c r="F34" s="117" t="str">
        <f>INDEX(Сезонность!$G$7:$G$18,MATCH(C34,Сезонность!$F$7:$F$18,0),1)</f>
        <v>Весна</v>
      </c>
      <c r="G34" s="117">
        <f>SUMIFS('План продаж'!$Q:$Q,'План продаж'!$B:$B,'Скидки и клиентская база'!$B34)</f>
        <v>1688449.9999999995</v>
      </c>
      <c r="H34" s="117">
        <f t="shared" si="0"/>
        <v>1</v>
      </c>
      <c r="I34" s="117">
        <f>'Пропускная способность'!$D$5*INDEX(Коэф_Сценария,MATCH(Нстр_Сценарий,Сценарии,0),1)*H34*30*SUM('План продаж'!H33:J33)</f>
        <v>238.55421686746988</v>
      </c>
      <c r="J34" s="117">
        <f t="shared" si="4"/>
        <v>27</v>
      </c>
      <c r="K34" s="117">
        <f t="shared" si="8"/>
        <v>29</v>
      </c>
      <c r="L34" s="117">
        <f t="shared" si="8"/>
        <v>31</v>
      </c>
      <c r="M34" s="117">
        <f t="shared" si="8"/>
        <v>33</v>
      </c>
      <c r="N34" s="117">
        <f t="shared" si="8"/>
        <v>35</v>
      </c>
      <c r="O34" s="117">
        <f t="shared" si="9"/>
        <v>119.27710843373494</v>
      </c>
      <c r="P34" s="117">
        <f t="shared" si="9"/>
        <v>71.566265060240966</v>
      </c>
      <c r="Q34" s="117">
        <f t="shared" si="9"/>
        <v>23.85542168674699</v>
      </c>
      <c r="R34" s="117">
        <f t="shared" si="9"/>
        <v>11.927710843373495</v>
      </c>
      <c r="S34" s="117">
        <f t="shared" si="9"/>
        <v>11.927710843373495</v>
      </c>
      <c r="T34" s="117">
        <f>-$Y$5*O34*'Пропускная способность'!$G$20</f>
        <v>0</v>
      </c>
      <c r="U34" s="117">
        <f>-SUMIFS($S$6:$S$67,$N$6:$N$67,$B34)*'Пропускная способность'!$G$20</f>
        <v>-25799.638554216868</v>
      </c>
    </row>
    <row r="35" spans="2:21" x14ac:dyDescent="0.25">
      <c r="B35" s="117">
        <f t="shared" si="5"/>
        <v>28</v>
      </c>
      <c r="C35" s="117">
        <f t="shared" si="7"/>
        <v>6</v>
      </c>
      <c r="D35" s="117">
        <f t="shared" si="3"/>
        <v>2020</v>
      </c>
      <c r="E35" s="147">
        <f>EOMONTH(Настройки!$I$7,B35)</f>
        <v>44012</v>
      </c>
      <c r="F35" s="117" t="str">
        <f>INDEX(Сезонность!$G$7:$G$18,MATCH(C35,Сезонность!$F$7:$F$18,0),1)</f>
        <v>Лето</v>
      </c>
      <c r="G35" s="117">
        <f>SUMIFS('План продаж'!$Q:$Q,'План продаж'!$B:$B,'Скидки и клиентская база'!$B35)</f>
        <v>1688449.9999999995</v>
      </c>
      <c r="H35" s="117">
        <f t="shared" si="0"/>
        <v>1</v>
      </c>
      <c r="I35" s="117">
        <f>'Пропускная способность'!$D$5*INDEX(Коэф_Сценария,MATCH(Нстр_Сценарий,Сценарии,0),1)*H35*30*SUM('План продаж'!H34:J34)</f>
        <v>238.55421686746988</v>
      </c>
      <c r="J35" s="117">
        <f t="shared" si="4"/>
        <v>28</v>
      </c>
      <c r="K35" s="117">
        <f t="shared" si="8"/>
        <v>30</v>
      </c>
      <c r="L35" s="117">
        <f t="shared" si="8"/>
        <v>32</v>
      </c>
      <c r="M35" s="117">
        <f t="shared" si="8"/>
        <v>34</v>
      </c>
      <c r="N35" s="117">
        <f t="shared" si="8"/>
        <v>36</v>
      </c>
      <c r="O35" s="117">
        <f t="shared" si="9"/>
        <v>119.27710843373494</v>
      </c>
      <c r="P35" s="117">
        <f t="shared" si="9"/>
        <v>71.566265060240966</v>
      </c>
      <c r="Q35" s="117">
        <f t="shared" si="9"/>
        <v>23.85542168674699</v>
      </c>
      <c r="R35" s="117">
        <f t="shared" si="9"/>
        <v>11.927710843373495</v>
      </c>
      <c r="S35" s="117">
        <f t="shared" si="9"/>
        <v>11.927710843373495</v>
      </c>
      <c r="T35" s="117">
        <f>-$Y$5*O35*'Пропускная способность'!$G$20</f>
        <v>0</v>
      </c>
      <c r="U35" s="117">
        <f>-SUMIFS($S$6:$S$67,$N$6:$N$67,$B35)*'Пропускная способность'!$G$20</f>
        <v>-25799.638554216868</v>
      </c>
    </row>
    <row r="36" spans="2:21" x14ac:dyDescent="0.25">
      <c r="B36" s="117">
        <f t="shared" si="5"/>
        <v>29</v>
      </c>
      <c r="C36" s="117">
        <f t="shared" si="7"/>
        <v>7</v>
      </c>
      <c r="D36" s="117">
        <f t="shared" si="3"/>
        <v>2020</v>
      </c>
      <c r="E36" s="147">
        <f>EOMONTH(Настройки!$I$7,B36)</f>
        <v>44043</v>
      </c>
      <c r="F36" s="117" t="str">
        <f>INDEX(Сезонность!$G$7:$G$18,MATCH(C36,Сезонность!$F$7:$F$18,0),1)</f>
        <v>Лето</v>
      </c>
      <c r="G36" s="117">
        <f>SUMIFS('План продаж'!$Q:$Q,'План продаж'!$B:$B,'Скидки и клиентская база'!$B36)</f>
        <v>1688449.9999999995</v>
      </c>
      <c r="H36" s="117">
        <f t="shared" si="0"/>
        <v>1</v>
      </c>
      <c r="I36" s="117">
        <f>'Пропускная способность'!$D$5*INDEX(Коэф_Сценария,MATCH(Нстр_Сценарий,Сценарии,0),1)*H36*30*SUM('План продаж'!H35:J35)</f>
        <v>238.55421686746988</v>
      </c>
      <c r="J36" s="117">
        <f t="shared" si="4"/>
        <v>29</v>
      </c>
      <c r="K36" s="117">
        <f t="shared" si="8"/>
        <v>31</v>
      </c>
      <c r="L36" s="117">
        <f t="shared" si="8"/>
        <v>33</v>
      </c>
      <c r="M36" s="117">
        <f t="shared" si="8"/>
        <v>35</v>
      </c>
      <c r="N36" s="117">
        <f t="shared" si="8"/>
        <v>37</v>
      </c>
      <c r="O36" s="117">
        <f t="shared" si="9"/>
        <v>119.27710843373494</v>
      </c>
      <c r="P36" s="117">
        <f t="shared" si="9"/>
        <v>71.566265060240966</v>
      </c>
      <c r="Q36" s="117">
        <f t="shared" si="9"/>
        <v>23.85542168674699</v>
      </c>
      <c r="R36" s="117">
        <f t="shared" si="9"/>
        <v>11.927710843373495</v>
      </c>
      <c r="S36" s="117">
        <f t="shared" si="9"/>
        <v>11.927710843373495</v>
      </c>
      <c r="T36" s="117">
        <f>-$Y$5*O36*'Пропускная способность'!$G$20</f>
        <v>0</v>
      </c>
      <c r="U36" s="117">
        <f>-SUMIFS($S$6:$S$67,$N$6:$N$67,$B36)*'Пропускная способность'!$G$20</f>
        <v>-25799.638554216868</v>
      </c>
    </row>
    <row r="37" spans="2:21" x14ac:dyDescent="0.25">
      <c r="B37" s="117">
        <f t="shared" si="5"/>
        <v>30</v>
      </c>
      <c r="C37" s="117">
        <f t="shared" si="7"/>
        <v>8</v>
      </c>
      <c r="D37" s="117">
        <f t="shared" si="3"/>
        <v>2020</v>
      </c>
      <c r="E37" s="147">
        <f>EOMONTH(Настройки!$I$7,B37)</f>
        <v>44074</v>
      </c>
      <c r="F37" s="117" t="str">
        <f>INDEX(Сезонность!$G$7:$G$18,MATCH(C37,Сезонность!$F$7:$F$18,0),1)</f>
        <v>Лето</v>
      </c>
      <c r="G37" s="117">
        <f>SUMIFS('План продаж'!$Q:$Q,'План продаж'!$B:$B,'Скидки и клиентская база'!$B37)</f>
        <v>1688449.9999999995</v>
      </c>
      <c r="H37" s="117">
        <f t="shared" si="0"/>
        <v>1</v>
      </c>
      <c r="I37" s="117">
        <f>'Пропускная способность'!$D$5*INDEX(Коэф_Сценария,MATCH(Нстр_Сценарий,Сценарии,0),1)*H37*30*SUM('План продаж'!H36:J36)</f>
        <v>238.55421686746988</v>
      </c>
      <c r="J37" s="117">
        <f t="shared" si="4"/>
        <v>30</v>
      </c>
      <c r="K37" s="117">
        <f t="shared" si="8"/>
        <v>32</v>
      </c>
      <c r="L37" s="117">
        <f t="shared" si="8"/>
        <v>34</v>
      </c>
      <c r="M37" s="117">
        <f t="shared" si="8"/>
        <v>36</v>
      </c>
      <c r="N37" s="117">
        <f t="shared" si="8"/>
        <v>38</v>
      </c>
      <c r="O37" s="117">
        <f t="shared" si="9"/>
        <v>119.27710843373494</v>
      </c>
      <c r="P37" s="117">
        <f t="shared" si="9"/>
        <v>71.566265060240966</v>
      </c>
      <c r="Q37" s="117">
        <f t="shared" si="9"/>
        <v>23.85542168674699</v>
      </c>
      <c r="R37" s="117">
        <f t="shared" si="9"/>
        <v>11.927710843373495</v>
      </c>
      <c r="S37" s="117">
        <f t="shared" si="9"/>
        <v>11.927710843373495</v>
      </c>
      <c r="T37" s="117">
        <f>-$Y$5*O37*'Пропускная способность'!$G$20</f>
        <v>0</v>
      </c>
      <c r="U37" s="117">
        <f>-SUMIFS($S$6:$S$67,$N$6:$N$67,$B37)*'Пропускная способность'!$G$20</f>
        <v>-25799.638554216868</v>
      </c>
    </row>
    <row r="38" spans="2:21" x14ac:dyDescent="0.25">
      <c r="B38" s="117">
        <f t="shared" si="5"/>
        <v>31</v>
      </c>
      <c r="C38" s="117">
        <f t="shared" si="7"/>
        <v>9</v>
      </c>
      <c r="D38" s="117">
        <f t="shared" si="3"/>
        <v>2020</v>
      </c>
      <c r="E38" s="147">
        <f>EOMONTH(Настройки!$I$7,B38)</f>
        <v>44104</v>
      </c>
      <c r="F38" s="117" t="str">
        <f>INDEX(Сезонность!$G$7:$G$18,MATCH(C38,Сезонность!$F$7:$F$18,0),1)</f>
        <v>Осень</v>
      </c>
      <c r="G38" s="117">
        <f>SUMIFS('План продаж'!$Q:$Q,'План продаж'!$B:$B,'Скидки и клиентская база'!$B38)</f>
        <v>1688449.9999999995</v>
      </c>
      <c r="H38" s="117">
        <f t="shared" si="0"/>
        <v>1</v>
      </c>
      <c r="I38" s="117">
        <f>'Пропускная способность'!$D$5*INDEX(Коэф_Сценария,MATCH(Нстр_Сценарий,Сценарии,0),1)*H38*30*SUM('План продаж'!H37:J37)</f>
        <v>238.55421686746988</v>
      </c>
      <c r="J38" s="117">
        <f t="shared" si="4"/>
        <v>31</v>
      </c>
      <c r="K38" s="117">
        <f t="shared" si="8"/>
        <v>33</v>
      </c>
      <c r="L38" s="117">
        <f t="shared" si="8"/>
        <v>35</v>
      </c>
      <c r="M38" s="117">
        <f t="shared" si="8"/>
        <v>37</v>
      </c>
      <c r="N38" s="117">
        <f t="shared" si="8"/>
        <v>39</v>
      </c>
      <c r="O38" s="117">
        <f t="shared" si="9"/>
        <v>119.27710843373494</v>
      </c>
      <c r="P38" s="117">
        <f t="shared" si="9"/>
        <v>71.566265060240966</v>
      </c>
      <c r="Q38" s="117">
        <f t="shared" si="9"/>
        <v>23.85542168674699</v>
      </c>
      <c r="R38" s="117">
        <f t="shared" si="9"/>
        <v>11.927710843373495</v>
      </c>
      <c r="S38" s="117">
        <f t="shared" si="9"/>
        <v>11.927710843373495</v>
      </c>
      <c r="T38" s="117">
        <f>-$Y$5*O38*'Пропускная способность'!$G$20</f>
        <v>0</v>
      </c>
      <c r="U38" s="117">
        <f>-SUMIFS($S$6:$S$67,$N$6:$N$67,$B38)*'Пропускная способность'!$G$20</f>
        <v>-25799.638554216868</v>
      </c>
    </row>
    <row r="39" spans="2:21" x14ac:dyDescent="0.25">
      <c r="B39" s="117">
        <f t="shared" si="5"/>
        <v>32</v>
      </c>
      <c r="C39" s="117">
        <f t="shared" si="7"/>
        <v>10</v>
      </c>
      <c r="D39" s="117">
        <f t="shared" si="3"/>
        <v>2020</v>
      </c>
      <c r="E39" s="147">
        <f>EOMONTH(Настройки!$I$7,B39)</f>
        <v>44135</v>
      </c>
      <c r="F39" s="117" t="str">
        <f>INDEX(Сезонность!$G$7:$G$18,MATCH(C39,Сезонность!$F$7:$F$18,0),1)</f>
        <v>Осень</v>
      </c>
      <c r="G39" s="117">
        <f>SUMIFS('План продаж'!$Q:$Q,'План продаж'!$B:$B,'Скидки и клиентская база'!$B39)</f>
        <v>2251266.666666666</v>
      </c>
      <c r="H39" s="117">
        <f t="shared" ref="H39:H67" si="10">INDEX(Кэф_Сезонности,MATCH(F39,Сезонность,0),1)</f>
        <v>1</v>
      </c>
      <c r="I39" s="117">
        <f>'Пропускная способность'!$D$5*INDEX(Коэф_Сценария,MATCH(Нстр_Сценарий,Сценарии,0),1)*H39*30*SUM('План продаж'!H38:J38)</f>
        <v>238.55421686746988</v>
      </c>
      <c r="J39" s="117">
        <f t="shared" si="4"/>
        <v>32</v>
      </c>
      <c r="K39" s="117">
        <f t="shared" si="8"/>
        <v>34</v>
      </c>
      <c r="L39" s="117">
        <f t="shared" si="8"/>
        <v>36</v>
      </c>
      <c r="M39" s="117">
        <f t="shared" si="8"/>
        <v>38</v>
      </c>
      <c r="N39" s="117">
        <f t="shared" si="8"/>
        <v>40</v>
      </c>
      <c r="O39" s="117">
        <f t="shared" si="9"/>
        <v>119.27710843373494</v>
      </c>
      <c r="P39" s="117">
        <f t="shared" si="9"/>
        <v>71.566265060240966</v>
      </c>
      <c r="Q39" s="117">
        <f t="shared" si="9"/>
        <v>23.85542168674699</v>
      </c>
      <c r="R39" s="117">
        <f t="shared" si="9"/>
        <v>11.927710843373495</v>
      </c>
      <c r="S39" s="117">
        <f t="shared" si="9"/>
        <v>11.927710843373495</v>
      </c>
      <c r="T39" s="117">
        <f>-$Y$5*O39*'Пропускная способность'!$G$20</f>
        <v>0</v>
      </c>
      <c r="U39" s="117">
        <f>-SUMIFS($S$6:$S$67,$N$6:$N$67,$B39)*'Пропускная способность'!$G$20</f>
        <v>-25799.638554216868</v>
      </c>
    </row>
    <row r="40" spans="2:21" x14ac:dyDescent="0.25">
      <c r="B40" s="117">
        <f t="shared" si="5"/>
        <v>33</v>
      </c>
      <c r="C40" s="117">
        <f t="shared" si="7"/>
        <v>11</v>
      </c>
      <c r="D40" s="117">
        <f t="shared" si="3"/>
        <v>2020</v>
      </c>
      <c r="E40" s="147">
        <f>EOMONTH(Настройки!$I$7,B40)</f>
        <v>44165</v>
      </c>
      <c r="F40" s="117" t="str">
        <f>INDEX(Сезонность!$G$7:$G$18,MATCH(C40,Сезонность!$F$7:$F$18,0),1)</f>
        <v>Осень</v>
      </c>
      <c r="G40" s="117">
        <f>SUMIFS('План продаж'!$Q:$Q,'План продаж'!$B:$B,'Скидки и клиентская база'!$B40)</f>
        <v>2251266.666666666</v>
      </c>
      <c r="H40" s="117">
        <f t="shared" si="10"/>
        <v>1</v>
      </c>
      <c r="I40" s="117">
        <f>'Пропускная способность'!$D$5*INDEX(Коэф_Сценария,MATCH(Нстр_Сценарий,Сценарии,0),1)*H40*30*SUM('План продаж'!H39:J39)</f>
        <v>238.55421686746988</v>
      </c>
      <c r="J40" s="117">
        <f t="shared" si="4"/>
        <v>33</v>
      </c>
      <c r="K40" s="117">
        <f t="shared" si="8"/>
        <v>35</v>
      </c>
      <c r="L40" s="117">
        <f t="shared" si="8"/>
        <v>37</v>
      </c>
      <c r="M40" s="117">
        <f t="shared" si="8"/>
        <v>39</v>
      </c>
      <c r="N40" s="117">
        <f t="shared" si="8"/>
        <v>41</v>
      </c>
      <c r="O40" s="117">
        <f t="shared" si="9"/>
        <v>119.27710843373494</v>
      </c>
      <c r="P40" s="117">
        <f t="shared" si="9"/>
        <v>71.566265060240966</v>
      </c>
      <c r="Q40" s="117">
        <f t="shared" si="9"/>
        <v>23.85542168674699</v>
      </c>
      <c r="R40" s="117">
        <f t="shared" si="9"/>
        <v>11.927710843373495</v>
      </c>
      <c r="S40" s="117">
        <f t="shared" si="9"/>
        <v>11.927710843373495</v>
      </c>
      <c r="T40" s="117">
        <f>-$Y$5*O40*'Пропускная способность'!$G$20</f>
        <v>0</v>
      </c>
      <c r="U40" s="117">
        <f>-SUMIFS($S$6:$S$67,$N$6:$N$67,$B40)*'Пропускная способность'!$G$20</f>
        <v>-25799.638554216868</v>
      </c>
    </row>
    <row r="41" spans="2:21" x14ac:dyDescent="0.25">
      <c r="B41" s="117">
        <f t="shared" si="5"/>
        <v>34</v>
      </c>
      <c r="C41" s="117">
        <f t="shared" si="7"/>
        <v>12</v>
      </c>
      <c r="D41" s="117">
        <f t="shared" si="3"/>
        <v>2020</v>
      </c>
      <c r="E41" s="147">
        <f>EOMONTH(Настройки!$I$7,B41)</f>
        <v>44196</v>
      </c>
      <c r="F41" s="117" t="str">
        <f>INDEX(Сезонность!$G$7:$G$18,MATCH(C41,Сезонность!$F$7:$F$18,0),1)</f>
        <v>Зима</v>
      </c>
      <c r="G41" s="117">
        <f>SUMIFS('План продаж'!$Q:$Q,'План продаж'!$B:$B,'Скидки и клиентская база'!$B41)</f>
        <v>2251266.666666666</v>
      </c>
      <c r="H41" s="117">
        <f t="shared" si="10"/>
        <v>1</v>
      </c>
      <c r="I41" s="117">
        <f>'Пропускная способность'!$D$5*INDEX(Коэф_Сценария,MATCH(Нстр_Сценарий,Сценарии,0),1)*H41*30*SUM('План продаж'!H40:J40)</f>
        <v>238.55421686746988</v>
      </c>
      <c r="J41" s="117">
        <f t="shared" si="4"/>
        <v>34</v>
      </c>
      <c r="K41" s="117">
        <f t="shared" si="8"/>
        <v>36</v>
      </c>
      <c r="L41" s="117">
        <f t="shared" si="8"/>
        <v>38</v>
      </c>
      <c r="M41" s="117">
        <f t="shared" si="8"/>
        <v>40</v>
      </c>
      <c r="N41" s="117">
        <f t="shared" si="8"/>
        <v>42</v>
      </c>
      <c r="O41" s="117">
        <f t="shared" si="9"/>
        <v>119.27710843373494</v>
      </c>
      <c r="P41" s="117">
        <f t="shared" si="9"/>
        <v>71.566265060240966</v>
      </c>
      <c r="Q41" s="117">
        <f t="shared" si="9"/>
        <v>23.85542168674699</v>
      </c>
      <c r="R41" s="117">
        <f t="shared" si="9"/>
        <v>11.927710843373495</v>
      </c>
      <c r="S41" s="117">
        <f t="shared" si="9"/>
        <v>11.927710843373495</v>
      </c>
      <c r="T41" s="117">
        <f>-$Y$5*O41*'Пропускная способность'!$G$20</f>
        <v>0</v>
      </c>
      <c r="U41" s="117">
        <f>-SUMIFS($S$6:$S$67,$N$6:$N$67,$B41)*'Пропускная способность'!$G$20</f>
        <v>-25799.638554216868</v>
      </c>
    </row>
    <row r="42" spans="2:21" x14ac:dyDescent="0.25">
      <c r="B42" s="117">
        <f t="shared" si="5"/>
        <v>35</v>
      </c>
      <c r="C42" s="117">
        <f t="shared" si="7"/>
        <v>1</v>
      </c>
      <c r="D42" s="117">
        <f t="shared" si="3"/>
        <v>2021</v>
      </c>
      <c r="E42" s="147">
        <f>EOMONTH(Настройки!$I$7,B42)</f>
        <v>44227</v>
      </c>
      <c r="F42" s="117" t="str">
        <f>INDEX(Сезонность!$G$7:$G$18,MATCH(C42,Сезонность!$F$7:$F$18,0),1)</f>
        <v>Зима</v>
      </c>
      <c r="G42" s="117">
        <f>SUMIFS('План продаж'!$Q:$Q,'План продаж'!$B:$B,'Скидки и клиентская база'!$B42)</f>
        <v>2251266.666666666</v>
      </c>
      <c r="H42" s="117">
        <f t="shared" si="10"/>
        <v>1</v>
      </c>
      <c r="I42" s="117">
        <f>'Пропускная способность'!$D$5*INDEX(Коэф_Сценария,MATCH(Нстр_Сценарий,Сценарии,0),1)*H42*30*SUM('План продаж'!H41:J41)</f>
        <v>238.55421686746988</v>
      </c>
      <c r="J42" s="117">
        <f t="shared" si="4"/>
        <v>35</v>
      </c>
      <c r="K42" s="117">
        <f t="shared" si="8"/>
        <v>37</v>
      </c>
      <c r="L42" s="117">
        <f t="shared" si="8"/>
        <v>39</v>
      </c>
      <c r="M42" s="117">
        <f t="shared" si="8"/>
        <v>41</v>
      </c>
      <c r="N42" s="117">
        <f t="shared" si="8"/>
        <v>43</v>
      </c>
      <c r="O42" s="117">
        <f t="shared" si="9"/>
        <v>119.27710843373494</v>
      </c>
      <c r="P42" s="117">
        <f t="shared" si="9"/>
        <v>71.566265060240966</v>
      </c>
      <c r="Q42" s="117">
        <f t="shared" si="9"/>
        <v>23.85542168674699</v>
      </c>
      <c r="R42" s="117">
        <f t="shared" si="9"/>
        <v>11.927710843373495</v>
      </c>
      <c r="S42" s="117">
        <f t="shared" si="9"/>
        <v>11.927710843373495</v>
      </c>
      <c r="T42" s="117">
        <f>-$Y$5*O42*'Пропускная способность'!$G$20</f>
        <v>0</v>
      </c>
      <c r="U42" s="117">
        <f>-SUMIFS($S$6:$S$67,$N$6:$N$67,$B42)*'Пропускная способность'!$G$20</f>
        <v>-25799.638554216868</v>
      </c>
    </row>
    <row r="43" spans="2:21" x14ac:dyDescent="0.25">
      <c r="B43" s="117">
        <f t="shared" si="5"/>
        <v>36</v>
      </c>
      <c r="C43" s="117">
        <f t="shared" si="7"/>
        <v>2</v>
      </c>
      <c r="D43" s="117">
        <f t="shared" si="3"/>
        <v>2021</v>
      </c>
      <c r="E43" s="147">
        <f>EOMONTH(Настройки!$I$7,B43)</f>
        <v>44255</v>
      </c>
      <c r="F43" s="117" t="str">
        <f>INDEX(Сезонность!$G$7:$G$18,MATCH(C43,Сезонность!$F$7:$F$18,0),1)</f>
        <v>Зима</v>
      </c>
      <c r="G43" s="117">
        <f>SUMIFS('План продаж'!$Q:$Q,'План продаж'!$B:$B,'Скидки и клиентская база'!$B43)</f>
        <v>2251266.666666666</v>
      </c>
      <c r="H43" s="117">
        <f t="shared" si="10"/>
        <v>1</v>
      </c>
      <c r="I43" s="117">
        <f>'Пропускная способность'!$D$5*INDEX(Коэф_Сценария,MATCH(Нстр_Сценарий,Сценарии,0),1)*H43*30*SUM('План продаж'!H42:J42)</f>
        <v>238.55421686746988</v>
      </c>
      <c r="J43" s="117">
        <f t="shared" si="4"/>
        <v>36</v>
      </c>
      <c r="K43" s="117">
        <f t="shared" si="8"/>
        <v>38</v>
      </c>
      <c r="L43" s="117">
        <f t="shared" si="8"/>
        <v>40</v>
      </c>
      <c r="M43" s="117">
        <f t="shared" si="8"/>
        <v>42</v>
      </c>
      <c r="N43" s="117">
        <f t="shared" si="8"/>
        <v>44</v>
      </c>
      <c r="O43" s="117">
        <f t="shared" si="9"/>
        <v>119.27710843373494</v>
      </c>
      <c r="P43" s="117">
        <f t="shared" si="9"/>
        <v>71.566265060240966</v>
      </c>
      <c r="Q43" s="117">
        <f t="shared" si="9"/>
        <v>23.85542168674699</v>
      </c>
      <c r="R43" s="117">
        <f t="shared" si="9"/>
        <v>11.927710843373495</v>
      </c>
      <c r="S43" s="117">
        <f t="shared" si="9"/>
        <v>11.927710843373495</v>
      </c>
      <c r="T43" s="117">
        <f>-$Y$5*O43*'Пропускная способность'!$G$20</f>
        <v>0</v>
      </c>
      <c r="U43" s="117">
        <f>-SUMIFS($S$6:$S$67,$N$6:$N$67,$B43)*'Пропускная способность'!$G$20</f>
        <v>-25799.638554216868</v>
      </c>
    </row>
    <row r="44" spans="2:21" x14ac:dyDescent="0.25">
      <c r="B44" s="117">
        <f t="shared" si="5"/>
        <v>37</v>
      </c>
      <c r="C44" s="117">
        <f t="shared" si="7"/>
        <v>3</v>
      </c>
      <c r="D44" s="117">
        <f t="shared" si="3"/>
        <v>2021</v>
      </c>
      <c r="E44" s="147">
        <f>EOMONTH(Настройки!$I$7,B44)</f>
        <v>44286</v>
      </c>
      <c r="F44" s="117" t="str">
        <f>INDEX(Сезонность!$G$7:$G$18,MATCH(C44,Сезонность!$F$7:$F$18,0),1)</f>
        <v>Весна</v>
      </c>
      <c r="G44" s="117">
        <f>SUMIFS('План продаж'!$Q:$Q,'План продаж'!$B:$B,'Скидки и клиентская база'!$B44)</f>
        <v>2251266.666666666</v>
      </c>
      <c r="H44" s="117">
        <f t="shared" si="10"/>
        <v>1</v>
      </c>
      <c r="I44" s="117">
        <f>'Пропускная способность'!$D$5*INDEX(Коэф_Сценария,MATCH(Нстр_Сценарий,Сценарии,0),1)*H44*30*SUM('План продаж'!H43:J43)</f>
        <v>238.55421686746988</v>
      </c>
      <c r="J44" s="117">
        <f t="shared" si="4"/>
        <v>37</v>
      </c>
      <c r="K44" s="117">
        <f t="shared" si="8"/>
        <v>39</v>
      </c>
      <c r="L44" s="117">
        <f t="shared" si="8"/>
        <v>41</v>
      </c>
      <c r="M44" s="117">
        <f t="shared" si="8"/>
        <v>43</v>
      </c>
      <c r="N44" s="117">
        <f t="shared" si="8"/>
        <v>45</v>
      </c>
      <c r="O44" s="117">
        <f t="shared" si="9"/>
        <v>119.27710843373494</v>
      </c>
      <c r="P44" s="117">
        <f t="shared" si="9"/>
        <v>71.566265060240966</v>
      </c>
      <c r="Q44" s="117">
        <f t="shared" si="9"/>
        <v>23.85542168674699</v>
      </c>
      <c r="R44" s="117">
        <f t="shared" si="9"/>
        <v>11.927710843373495</v>
      </c>
      <c r="S44" s="117">
        <f t="shared" si="9"/>
        <v>11.927710843373495</v>
      </c>
      <c r="T44" s="117">
        <f>-$Y$5*O44*'Пропускная способность'!$G$20</f>
        <v>0</v>
      </c>
      <c r="U44" s="117">
        <f>-SUMIFS($S$6:$S$67,$N$6:$N$67,$B44)*'Пропускная способность'!$G$20</f>
        <v>-25799.638554216868</v>
      </c>
    </row>
    <row r="45" spans="2:21" x14ac:dyDescent="0.25">
      <c r="B45" s="117">
        <f t="shared" si="5"/>
        <v>38</v>
      </c>
      <c r="C45" s="117">
        <f t="shared" si="7"/>
        <v>4</v>
      </c>
      <c r="D45" s="117">
        <f t="shared" si="3"/>
        <v>2021</v>
      </c>
      <c r="E45" s="147">
        <f>EOMONTH(Настройки!$I$7,B45)</f>
        <v>44316</v>
      </c>
      <c r="F45" s="117" t="str">
        <f>INDEX(Сезонность!$G$7:$G$18,MATCH(C45,Сезонность!$F$7:$F$18,0),1)</f>
        <v>Весна</v>
      </c>
      <c r="G45" s="117">
        <f>SUMIFS('План продаж'!$Q:$Q,'План продаж'!$B:$B,'Скидки и клиентская база'!$B45)</f>
        <v>2251266.666666666</v>
      </c>
      <c r="H45" s="117">
        <f t="shared" si="10"/>
        <v>1</v>
      </c>
      <c r="I45" s="117">
        <f>'Пропускная способность'!$D$5*INDEX(Коэф_Сценария,MATCH(Нстр_Сценарий,Сценарии,0),1)*H45*30*SUM('План продаж'!H44:J44)</f>
        <v>238.55421686746988</v>
      </c>
      <c r="J45" s="117">
        <f t="shared" si="4"/>
        <v>38</v>
      </c>
      <c r="K45" s="117">
        <f t="shared" si="8"/>
        <v>40</v>
      </c>
      <c r="L45" s="117">
        <f t="shared" si="8"/>
        <v>42</v>
      </c>
      <c r="M45" s="117">
        <f t="shared" si="8"/>
        <v>44</v>
      </c>
      <c r="N45" s="117">
        <f t="shared" si="8"/>
        <v>46</v>
      </c>
      <c r="O45" s="117">
        <f t="shared" si="9"/>
        <v>119.27710843373494</v>
      </c>
      <c r="P45" s="117">
        <f t="shared" si="9"/>
        <v>71.566265060240966</v>
      </c>
      <c r="Q45" s="117">
        <f t="shared" si="9"/>
        <v>23.85542168674699</v>
      </c>
      <c r="R45" s="117">
        <f t="shared" si="9"/>
        <v>11.927710843373495</v>
      </c>
      <c r="S45" s="117">
        <f t="shared" si="9"/>
        <v>11.927710843373495</v>
      </c>
      <c r="T45" s="117">
        <f>-$Y$5*O45*'Пропускная способность'!$G$20</f>
        <v>0</v>
      </c>
      <c r="U45" s="117">
        <f>-SUMIFS($S$6:$S$67,$N$6:$N$67,$B45)*'Пропускная способность'!$G$20</f>
        <v>-25799.638554216868</v>
      </c>
    </row>
    <row r="46" spans="2:21" x14ac:dyDescent="0.25">
      <c r="B46" s="117">
        <f t="shared" si="5"/>
        <v>39</v>
      </c>
      <c r="C46" s="117">
        <f t="shared" si="7"/>
        <v>5</v>
      </c>
      <c r="D46" s="117">
        <f t="shared" si="3"/>
        <v>2021</v>
      </c>
      <c r="E46" s="147">
        <f>EOMONTH(Настройки!$I$7,B46)</f>
        <v>44347</v>
      </c>
      <c r="F46" s="117" t="str">
        <f>INDEX(Сезонность!$G$7:$G$18,MATCH(C46,Сезонность!$F$7:$F$18,0),1)</f>
        <v>Весна</v>
      </c>
      <c r="G46" s="117">
        <f>SUMIFS('План продаж'!$Q:$Q,'План продаж'!$B:$B,'Скидки и клиентская база'!$B46)</f>
        <v>1688449.9999999995</v>
      </c>
      <c r="H46" s="117">
        <f t="shared" si="10"/>
        <v>1</v>
      </c>
      <c r="I46" s="117">
        <f>'Пропускная способность'!$D$5*INDEX(Коэф_Сценария,MATCH(Нстр_Сценарий,Сценарии,0),1)*H46*30*SUM('План продаж'!H45:J45)</f>
        <v>238.55421686746988</v>
      </c>
      <c r="J46" s="117">
        <f t="shared" si="4"/>
        <v>39</v>
      </c>
      <c r="K46" s="117">
        <f t="shared" si="8"/>
        <v>41</v>
      </c>
      <c r="L46" s="117">
        <f t="shared" si="8"/>
        <v>43</v>
      </c>
      <c r="M46" s="117">
        <f t="shared" si="8"/>
        <v>45</v>
      </c>
      <c r="N46" s="117">
        <f t="shared" si="8"/>
        <v>47</v>
      </c>
      <c r="O46" s="117">
        <f t="shared" si="9"/>
        <v>119.27710843373494</v>
      </c>
      <c r="P46" s="117">
        <f t="shared" si="9"/>
        <v>71.566265060240966</v>
      </c>
      <c r="Q46" s="117">
        <f t="shared" si="9"/>
        <v>23.85542168674699</v>
      </c>
      <c r="R46" s="117">
        <f t="shared" si="9"/>
        <v>11.927710843373495</v>
      </c>
      <c r="S46" s="117">
        <f t="shared" si="9"/>
        <v>11.927710843373495</v>
      </c>
      <c r="T46" s="117">
        <f>-$Y$5*O46*'Пропускная способность'!$G$20</f>
        <v>0</v>
      </c>
      <c r="U46" s="117">
        <f>-SUMIFS($S$6:$S$67,$N$6:$N$67,$B46)*'Пропускная способность'!$G$20</f>
        <v>-25799.638554216868</v>
      </c>
    </row>
    <row r="47" spans="2:21" x14ac:dyDescent="0.25">
      <c r="B47" s="117">
        <f t="shared" si="5"/>
        <v>40</v>
      </c>
      <c r="C47" s="117">
        <f t="shared" si="7"/>
        <v>6</v>
      </c>
      <c r="D47" s="117">
        <f t="shared" si="3"/>
        <v>2021</v>
      </c>
      <c r="E47" s="147">
        <f>EOMONTH(Настройки!$I$7,B47)</f>
        <v>44377</v>
      </c>
      <c r="F47" s="117" t="str">
        <f>INDEX(Сезонность!$G$7:$G$18,MATCH(C47,Сезонность!$F$7:$F$18,0),1)</f>
        <v>Лето</v>
      </c>
      <c r="G47" s="117">
        <f>SUMIFS('План продаж'!$Q:$Q,'План продаж'!$B:$B,'Скидки и клиентская база'!$B47)</f>
        <v>1688449.9999999995</v>
      </c>
      <c r="H47" s="117">
        <f t="shared" si="10"/>
        <v>1</v>
      </c>
      <c r="I47" s="117">
        <f>'Пропускная способность'!$D$5*INDEX(Коэф_Сценария,MATCH(Нстр_Сценарий,Сценарии,0),1)*H47*30*SUM('План продаж'!H46:J46)</f>
        <v>238.55421686746988</v>
      </c>
      <c r="J47" s="117">
        <f t="shared" si="4"/>
        <v>40</v>
      </c>
      <c r="K47" s="117">
        <f t="shared" ref="K47:N66" si="11">J47+$Y$15</f>
        <v>42</v>
      </c>
      <c r="L47" s="117">
        <f t="shared" si="11"/>
        <v>44</v>
      </c>
      <c r="M47" s="117">
        <f t="shared" si="11"/>
        <v>46</v>
      </c>
      <c r="N47" s="117">
        <f t="shared" si="11"/>
        <v>48</v>
      </c>
      <c r="O47" s="117">
        <f t="shared" si="9"/>
        <v>119.27710843373494</v>
      </c>
      <c r="P47" s="117">
        <f t="shared" si="9"/>
        <v>71.566265060240966</v>
      </c>
      <c r="Q47" s="117">
        <f t="shared" si="9"/>
        <v>23.85542168674699</v>
      </c>
      <c r="R47" s="117">
        <f t="shared" si="9"/>
        <v>11.927710843373495</v>
      </c>
      <c r="S47" s="117">
        <f t="shared" si="9"/>
        <v>11.927710843373495</v>
      </c>
      <c r="T47" s="117">
        <f>-$Y$5*O47*'Пропускная способность'!$G$20</f>
        <v>0</v>
      </c>
      <c r="U47" s="117">
        <f>-SUMIFS($S$6:$S$67,$N$6:$N$67,$B47)*'Пропускная способность'!$G$20</f>
        <v>-25799.638554216868</v>
      </c>
    </row>
    <row r="48" spans="2:21" x14ac:dyDescent="0.25">
      <c r="B48" s="117">
        <f t="shared" si="5"/>
        <v>41</v>
      </c>
      <c r="C48" s="117">
        <f t="shared" si="7"/>
        <v>7</v>
      </c>
      <c r="D48" s="117">
        <f t="shared" si="3"/>
        <v>2021</v>
      </c>
      <c r="E48" s="147">
        <f>EOMONTH(Настройки!$I$7,B48)</f>
        <v>44408</v>
      </c>
      <c r="F48" s="117" t="str">
        <f>INDEX(Сезонность!$G$7:$G$18,MATCH(C48,Сезонность!$F$7:$F$18,0),1)</f>
        <v>Лето</v>
      </c>
      <c r="G48" s="117">
        <f>SUMIFS('План продаж'!$Q:$Q,'План продаж'!$B:$B,'Скидки и клиентская база'!$B48)</f>
        <v>1688449.9999999995</v>
      </c>
      <c r="H48" s="117">
        <f t="shared" si="10"/>
        <v>1</v>
      </c>
      <c r="I48" s="117">
        <f>'Пропускная способность'!$D$5*INDEX(Коэф_Сценария,MATCH(Нстр_Сценарий,Сценарии,0),1)*H48*30*SUM('План продаж'!H47:J47)</f>
        <v>238.55421686746988</v>
      </c>
      <c r="J48" s="117">
        <f t="shared" si="4"/>
        <v>41</v>
      </c>
      <c r="K48" s="117">
        <f t="shared" si="11"/>
        <v>43</v>
      </c>
      <c r="L48" s="117">
        <f t="shared" si="11"/>
        <v>45</v>
      </c>
      <c r="M48" s="117">
        <f t="shared" si="11"/>
        <v>47</v>
      </c>
      <c r="N48" s="117">
        <f t="shared" si="11"/>
        <v>49</v>
      </c>
      <c r="O48" s="117">
        <f t="shared" si="9"/>
        <v>119.27710843373494</v>
      </c>
      <c r="P48" s="117">
        <f t="shared" si="9"/>
        <v>71.566265060240966</v>
      </c>
      <c r="Q48" s="117">
        <f t="shared" si="9"/>
        <v>23.85542168674699</v>
      </c>
      <c r="R48" s="117">
        <f t="shared" si="9"/>
        <v>11.927710843373495</v>
      </c>
      <c r="S48" s="117">
        <f t="shared" si="9"/>
        <v>11.927710843373495</v>
      </c>
      <c r="T48" s="117">
        <f>-$Y$5*O48*'Пропускная способность'!$G$20</f>
        <v>0</v>
      </c>
      <c r="U48" s="117">
        <f>-SUMIFS($S$6:$S$67,$N$6:$N$67,$B48)*'Пропускная способность'!$G$20</f>
        <v>-25799.638554216868</v>
      </c>
    </row>
    <row r="49" spans="2:21" x14ac:dyDescent="0.25">
      <c r="B49" s="117">
        <f t="shared" si="5"/>
        <v>42</v>
      </c>
      <c r="C49" s="117">
        <f t="shared" si="7"/>
        <v>8</v>
      </c>
      <c r="D49" s="117">
        <f t="shared" si="3"/>
        <v>2021</v>
      </c>
      <c r="E49" s="147">
        <f>EOMONTH(Настройки!$I$7,B49)</f>
        <v>44439</v>
      </c>
      <c r="F49" s="117" t="str">
        <f>INDEX(Сезонность!$G$7:$G$18,MATCH(C49,Сезонность!$F$7:$F$18,0),1)</f>
        <v>Лето</v>
      </c>
      <c r="G49" s="117">
        <f>SUMIFS('План продаж'!$Q:$Q,'План продаж'!$B:$B,'Скидки и клиентская база'!$B49)</f>
        <v>1688449.9999999995</v>
      </c>
      <c r="H49" s="117">
        <f t="shared" si="10"/>
        <v>1</v>
      </c>
      <c r="I49" s="117">
        <f>'Пропускная способность'!$D$5*INDEX(Коэф_Сценария,MATCH(Нстр_Сценарий,Сценарии,0),1)*H49*30*SUM('План продаж'!H48:J48)</f>
        <v>238.55421686746988</v>
      </c>
      <c r="J49" s="117">
        <f t="shared" si="4"/>
        <v>42</v>
      </c>
      <c r="K49" s="117">
        <f t="shared" si="11"/>
        <v>44</v>
      </c>
      <c r="L49" s="117">
        <f t="shared" si="11"/>
        <v>46</v>
      </c>
      <c r="M49" s="117">
        <f t="shared" si="11"/>
        <v>48</v>
      </c>
      <c r="N49" s="117">
        <f t="shared" si="11"/>
        <v>50</v>
      </c>
      <c r="O49" s="117">
        <f t="shared" si="9"/>
        <v>119.27710843373494</v>
      </c>
      <c r="P49" s="117">
        <f t="shared" si="9"/>
        <v>71.566265060240966</v>
      </c>
      <c r="Q49" s="117">
        <f t="shared" si="9"/>
        <v>23.85542168674699</v>
      </c>
      <c r="R49" s="117">
        <f t="shared" si="9"/>
        <v>11.927710843373495</v>
      </c>
      <c r="S49" s="117">
        <f t="shared" si="9"/>
        <v>11.927710843373495</v>
      </c>
      <c r="T49" s="117">
        <f>-$Y$5*O49*'Пропускная способность'!$G$20</f>
        <v>0</v>
      </c>
      <c r="U49" s="117">
        <f>-SUMIFS($S$6:$S$67,$N$6:$N$67,$B49)*'Пропускная способность'!$G$20</f>
        <v>-25799.638554216868</v>
      </c>
    </row>
    <row r="50" spans="2:21" x14ac:dyDescent="0.25">
      <c r="B50" s="117">
        <f t="shared" si="5"/>
        <v>43</v>
      </c>
      <c r="C50" s="117">
        <f t="shared" si="7"/>
        <v>9</v>
      </c>
      <c r="D50" s="117">
        <f t="shared" si="3"/>
        <v>2021</v>
      </c>
      <c r="E50" s="147">
        <f>EOMONTH(Настройки!$I$7,B50)</f>
        <v>44469</v>
      </c>
      <c r="F50" s="117" t="str">
        <f>INDEX(Сезонность!$G$7:$G$18,MATCH(C50,Сезонность!$F$7:$F$18,0),1)</f>
        <v>Осень</v>
      </c>
      <c r="G50" s="117">
        <f>SUMIFS('План продаж'!$Q:$Q,'План продаж'!$B:$B,'Скидки и клиентская база'!$B50)</f>
        <v>1688449.9999999995</v>
      </c>
      <c r="H50" s="117">
        <f t="shared" si="10"/>
        <v>1</v>
      </c>
      <c r="I50" s="117">
        <f>'Пропускная способность'!$D$5*INDEX(Коэф_Сценария,MATCH(Нстр_Сценарий,Сценарии,0),1)*H50*30*SUM('План продаж'!H49:J49)</f>
        <v>238.55421686746988</v>
      </c>
      <c r="J50" s="117">
        <f t="shared" si="4"/>
        <v>43</v>
      </c>
      <c r="K50" s="117">
        <f t="shared" si="11"/>
        <v>45</v>
      </c>
      <c r="L50" s="117">
        <f t="shared" si="11"/>
        <v>47</v>
      </c>
      <c r="M50" s="117">
        <f t="shared" si="11"/>
        <v>49</v>
      </c>
      <c r="N50" s="117">
        <f t="shared" si="11"/>
        <v>51</v>
      </c>
      <c r="O50" s="117">
        <f t="shared" si="9"/>
        <v>119.27710843373494</v>
      </c>
      <c r="P50" s="117">
        <f t="shared" si="9"/>
        <v>71.566265060240966</v>
      </c>
      <c r="Q50" s="117">
        <f t="shared" si="9"/>
        <v>23.85542168674699</v>
      </c>
      <c r="R50" s="117">
        <f t="shared" si="9"/>
        <v>11.927710843373495</v>
      </c>
      <c r="S50" s="117">
        <f t="shared" si="9"/>
        <v>11.927710843373495</v>
      </c>
      <c r="T50" s="117">
        <f>-$Y$5*O50*'Пропускная способность'!$G$20</f>
        <v>0</v>
      </c>
      <c r="U50" s="117">
        <f>-SUMIFS($S$6:$S$67,$N$6:$N$67,$B50)*'Пропускная способность'!$G$20</f>
        <v>-25799.638554216868</v>
      </c>
    </row>
    <row r="51" spans="2:21" x14ac:dyDescent="0.25">
      <c r="B51" s="117">
        <f t="shared" si="5"/>
        <v>44</v>
      </c>
      <c r="C51" s="117">
        <f t="shared" si="7"/>
        <v>10</v>
      </c>
      <c r="D51" s="117">
        <f t="shared" si="3"/>
        <v>2021</v>
      </c>
      <c r="E51" s="147">
        <f>EOMONTH(Настройки!$I$7,B51)</f>
        <v>44500</v>
      </c>
      <c r="F51" s="117" t="str">
        <f>INDEX(Сезонность!$G$7:$G$18,MATCH(C51,Сезонность!$F$7:$F$18,0),1)</f>
        <v>Осень</v>
      </c>
      <c r="G51" s="117">
        <f>SUMIFS('План продаж'!$Q:$Q,'План продаж'!$B:$B,'Скидки и клиентская база'!$B51)</f>
        <v>2251266.666666666</v>
      </c>
      <c r="H51" s="117">
        <f t="shared" si="10"/>
        <v>1</v>
      </c>
      <c r="I51" s="117">
        <f>'Пропускная способность'!$D$5*INDEX(Коэф_Сценария,MATCH(Нстр_Сценарий,Сценарии,0),1)*H51*30*SUM('План продаж'!H50:J50)</f>
        <v>238.55421686746988</v>
      </c>
      <c r="J51" s="117">
        <f t="shared" si="4"/>
        <v>44</v>
      </c>
      <c r="K51" s="117">
        <f t="shared" si="11"/>
        <v>46</v>
      </c>
      <c r="L51" s="117">
        <f t="shared" si="11"/>
        <v>48</v>
      </c>
      <c r="M51" s="117">
        <f t="shared" si="11"/>
        <v>50</v>
      </c>
      <c r="N51" s="117">
        <f t="shared" si="11"/>
        <v>52</v>
      </c>
      <c r="O51" s="117">
        <f t="shared" si="9"/>
        <v>119.27710843373494</v>
      </c>
      <c r="P51" s="117">
        <f t="shared" si="9"/>
        <v>71.566265060240966</v>
      </c>
      <c r="Q51" s="117">
        <f t="shared" si="9"/>
        <v>23.85542168674699</v>
      </c>
      <c r="R51" s="117">
        <f t="shared" si="9"/>
        <v>11.927710843373495</v>
      </c>
      <c r="S51" s="117">
        <f t="shared" si="9"/>
        <v>11.927710843373495</v>
      </c>
      <c r="T51" s="117">
        <f>-$Y$5*O51*'Пропускная способность'!$G$20</f>
        <v>0</v>
      </c>
      <c r="U51" s="117">
        <f>-SUMIFS($S$6:$S$67,$N$6:$N$67,$B51)*'Пропускная способность'!$G$20</f>
        <v>-25799.638554216868</v>
      </c>
    </row>
    <row r="52" spans="2:21" x14ac:dyDescent="0.25">
      <c r="B52" s="117">
        <f t="shared" si="5"/>
        <v>45</v>
      </c>
      <c r="C52" s="117">
        <f t="shared" si="7"/>
        <v>11</v>
      </c>
      <c r="D52" s="117">
        <f t="shared" si="3"/>
        <v>2021</v>
      </c>
      <c r="E52" s="147">
        <f>EOMONTH(Настройки!$I$7,B52)</f>
        <v>44530</v>
      </c>
      <c r="F52" s="117" t="str">
        <f>INDEX(Сезонность!$G$7:$G$18,MATCH(C52,Сезонность!$F$7:$F$18,0),1)</f>
        <v>Осень</v>
      </c>
      <c r="G52" s="117">
        <f>SUMIFS('План продаж'!$Q:$Q,'План продаж'!$B:$B,'Скидки и клиентская база'!$B52)</f>
        <v>2251266.666666666</v>
      </c>
      <c r="H52" s="117">
        <f t="shared" si="10"/>
        <v>1</v>
      </c>
      <c r="I52" s="117">
        <f>'Пропускная способность'!$D$5*INDEX(Коэф_Сценария,MATCH(Нстр_Сценарий,Сценарии,0),1)*H52*30*SUM('План продаж'!H51:J51)</f>
        <v>238.55421686746988</v>
      </c>
      <c r="J52" s="117">
        <f t="shared" si="4"/>
        <v>45</v>
      </c>
      <c r="K52" s="117">
        <f t="shared" si="11"/>
        <v>47</v>
      </c>
      <c r="L52" s="117">
        <f t="shared" si="11"/>
        <v>49</v>
      </c>
      <c r="M52" s="117">
        <f t="shared" si="11"/>
        <v>51</v>
      </c>
      <c r="N52" s="117">
        <f t="shared" si="11"/>
        <v>53</v>
      </c>
      <c r="O52" s="117">
        <f t="shared" si="9"/>
        <v>119.27710843373494</v>
      </c>
      <c r="P52" s="117">
        <f t="shared" si="9"/>
        <v>71.566265060240966</v>
      </c>
      <c r="Q52" s="117">
        <f t="shared" si="9"/>
        <v>23.85542168674699</v>
      </c>
      <c r="R52" s="117">
        <f t="shared" si="9"/>
        <v>11.927710843373495</v>
      </c>
      <c r="S52" s="117">
        <f t="shared" si="9"/>
        <v>11.927710843373495</v>
      </c>
      <c r="T52" s="117">
        <f>-$Y$5*O52*'Пропускная способность'!$G$20</f>
        <v>0</v>
      </c>
      <c r="U52" s="117">
        <f>-SUMIFS($S$6:$S$67,$N$6:$N$67,$B52)*'Пропускная способность'!$G$20</f>
        <v>-25799.638554216868</v>
      </c>
    </row>
    <row r="53" spans="2:21" x14ac:dyDescent="0.25">
      <c r="B53" s="117">
        <f t="shared" si="5"/>
        <v>46</v>
      </c>
      <c r="C53" s="117">
        <f t="shared" si="7"/>
        <v>12</v>
      </c>
      <c r="D53" s="117">
        <f t="shared" si="3"/>
        <v>2021</v>
      </c>
      <c r="E53" s="147">
        <f>EOMONTH(Настройки!$I$7,B53)</f>
        <v>44561</v>
      </c>
      <c r="F53" s="117" t="str">
        <f>INDEX(Сезонность!$G$7:$G$18,MATCH(C53,Сезонность!$F$7:$F$18,0),1)</f>
        <v>Зима</v>
      </c>
      <c r="G53" s="117">
        <f>SUMIFS('План продаж'!$Q:$Q,'План продаж'!$B:$B,'Скидки и клиентская база'!$B53)</f>
        <v>2251266.666666666</v>
      </c>
      <c r="H53" s="117">
        <f t="shared" si="10"/>
        <v>1</v>
      </c>
      <c r="I53" s="117">
        <f>'Пропускная способность'!$D$5*INDEX(Коэф_Сценария,MATCH(Нстр_Сценарий,Сценарии,0),1)*H53*30*SUM('План продаж'!H52:J52)</f>
        <v>238.55421686746988</v>
      </c>
      <c r="J53" s="117">
        <f t="shared" si="4"/>
        <v>46</v>
      </c>
      <c r="K53" s="117">
        <f t="shared" si="11"/>
        <v>48</v>
      </c>
      <c r="L53" s="117">
        <f t="shared" si="11"/>
        <v>50</v>
      </c>
      <c r="M53" s="117">
        <f t="shared" si="11"/>
        <v>52</v>
      </c>
      <c r="N53" s="117">
        <f t="shared" si="11"/>
        <v>54</v>
      </c>
      <c r="O53" s="117">
        <f t="shared" si="9"/>
        <v>119.27710843373494</v>
      </c>
      <c r="P53" s="117">
        <f t="shared" si="9"/>
        <v>71.566265060240966</v>
      </c>
      <c r="Q53" s="117">
        <f t="shared" si="9"/>
        <v>23.85542168674699</v>
      </c>
      <c r="R53" s="117">
        <f t="shared" si="9"/>
        <v>11.927710843373495</v>
      </c>
      <c r="S53" s="117">
        <f t="shared" si="9"/>
        <v>11.927710843373495</v>
      </c>
      <c r="T53" s="117">
        <f>-$Y$5*O53*'Пропускная способность'!$G$20</f>
        <v>0</v>
      </c>
      <c r="U53" s="117">
        <f>-SUMIFS($S$6:$S$67,$N$6:$N$67,$B53)*'Пропускная способность'!$G$20</f>
        <v>-25799.638554216868</v>
      </c>
    </row>
    <row r="54" spans="2:21" x14ac:dyDescent="0.25">
      <c r="B54" s="117">
        <f t="shared" si="5"/>
        <v>47</v>
      </c>
      <c r="C54" s="117">
        <f t="shared" si="7"/>
        <v>1</v>
      </c>
      <c r="D54" s="117">
        <f t="shared" si="3"/>
        <v>2022</v>
      </c>
      <c r="E54" s="147">
        <f>EOMONTH(Настройки!$I$7,B54)</f>
        <v>44592</v>
      </c>
      <c r="F54" s="117" t="str">
        <f>INDEX(Сезонность!$G$7:$G$18,MATCH(C54,Сезонность!$F$7:$F$18,0),1)</f>
        <v>Зима</v>
      </c>
      <c r="G54" s="117">
        <f>SUMIFS('План продаж'!$Q:$Q,'План продаж'!$B:$B,'Скидки и клиентская база'!$B54)</f>
        <v>2251266.666666666</v>
      </c>
      <c r="H54" s="117">
        <f t="shared" si="10"/>
        <v>1</v>
      </c>
      <c r="I54" s="117">
        <f>'Пропускная способность'!$D$5*INDEX(Коэф_Сценария,MATCH(Нстр_Сценарий,Сценарии,0),1)*H54*30*SUM('План продаж'!H53:J53)</f>
        <v>238.55421686746988</v>
      </c>
      <c r="J54" s="117">
        <f t="shared" si="4"/>
        <v>47</v>
      </c>
      <c r="K54" s="117">
        <f t="shared" si="11"/>
        <v>49</v>
      </c>
      <c r="L54" s="117">
        <f t="shared" si="11"/>
        <v>51</v>
      </c>
      <c r="M54" s="117">
        <f t="shared" si="11"/>
        <v>53</v>
      </c>
      <c r="N54" s="117">
        <f t="shared" si="11"/>
        <v>55</v>
      </c>
      <c r="O54" s="117">
        <f t="shared" si="9"/>
        <v>119.27710843373494</v>
      </c>
      <c r="P54" s="117">
        <f t="shared" si="9"/>
        <v>71.566265060240966</v>
      </c>
      <c r="Q54" s="117">
        <f t="shared" si="9"/>
        <v>23.85542168674699</v>
      </c>
      <c r="R54" s="117">
        <f t="shared" si="9"/>
        <v>11.927710843373495</v>
      </c>
      <c r="S54" s="117">
        <f t="shared" si="9"/>
        <v>11.927710843373495</v>
      </c>
      <c r="T54" s="117">
        <f>-$Y$5*O54*'Пропускная способность'!$G$20</f>
        <v>0</v>
      </c>
      <c r="U54" s="117">
        <f>-SUMIFS($S$6:$S$67,$N$6:$N$67,$B54)*'Пропускная способность'!$G$20</f>
        <v>-25799.638554216868</v>
      </c>
    </row>
    <row r="55" spans="2:21" x14ac:dyDescent="0.25">
      <c r="B55" s="117">
        <f t="shared" si="5"/>
        <v>48</v>
      </c>
      <c r="C55" s="117">
        <f t="shared" si="7"/>
        <v>2</v>
      </c>
      <c r="D55" s="117">
        <f t="shared" si="3"/>
        <v>2022</v>
      </c>
      <c r="E55" s="147">
        <f>EOMONTH(Настройки!$I$7,B55)</f>
        <v>44620</v>
      </c>
      <c r="F55" s="117" t="str">
        <f>INDEX(Сезонность!$G$7:$G$18,MATCH(C55,Сезонность!$F$7:$F$18,0),1)</f>
        <v>Зима</v>
      </c>
      <c r="G55" s="117">
        <f>SUMIFS('План продаж'!$Q:$Q,'План продаж'!$B:$B,'Скидки и клиентская база'!$B55)</f>
        <v>2251266.666666666</v>
      </c>
      <c r="H55" s="117">
        <f t="shared" si="10"/>
        <v>1</v>
      </c>
      <c r="I55" s="117">
        <f>'Пропускная способность'!$D$5*INDEX(Коэф_Сценария,MATCH(Нстр_Сценарий,Сценарии,0),1)*H55*30*SUM('План продаж'!H54:J54)</f>
        <v>238.55421686746988</v>
      </c>
      <c r="J55" s="117">
        <f t="shared" si="4"/>
        <v>48</v>
      </c>
      <c r="K55" s="117">
        <f t="shared" si="11"/>
        <v>50</v>
      </c>
      <c r="L55" s="117">
        <f t="shared" si="11"/>
        <v>52</v>
      </c>
      <c r="M55" s="117">
        <f t="shared" si="11"/>
        <v>54</v>
      </c>
      <c r="N55" s="117">
        <f t="shared" si="11"/>
        <v>56</v>
      </c>
      <c r="O55" s="117">
        <f t="shared" si="9"/>
        <v>119.27710843373494</v>
      </c>
      <c r="P55" s="117">
        <f t="shared" si="9"/>
        <v>71.566265060240966</v>
      </c>
      <c r="Q55" s="117">
        <f t="shared" si="9"/>
        <v>23.85542168674699</v>
      </c>
      <c r="R55" s="117">
        <f t="shared" si="9"/>
        <v>11.927710843373495</v>
      </c>
      <c r="S55" s="117">
        <f t="shared" si="9"/>
        <v>11.927710843373495</v>
      </c>
      <c r="T55" s="117">
        <f>-$Y$5*O55*'Пропускная способность'!$G$20</f>
        <v>0</v>
      </c>
      <c r="U55" s="117">
        <f>-SUMIFS($S$6:$S$67,$N$6:$N$67,$B55)*'Пропускная способность'!$G$20</f>
        <v>-25799.638554216868</v>
      </c>
    </row>
    <row r="56" spans="2:21" x14ac:dyDescent="0.25">
      <c r="B56" s="117">
        <f t="shared" si="5"/>
        <v>49</v>
      </c>
      <c r="C56" s="117">
        <f t="shared" si="7"/>
        <v>3</v>
      </c>
      <c r="D56" s="117">
        <f t="shared" si="3"/>
        <v>2022</v>
      </c>
      <c r="E56" s="147">
        <f>EOMONTH(Настройки!$I$7,B56)</f>
        <v>44651</v>
      </c>
      <c r="F56" s="117" t="str">
        <f>INDEX(Сезонность!$G$7:$G$18,MATCH(C56,Сезонность!$F$7:$F$18,0),1)</f>
        <v>Весна</v>
      </c>
      <c r="G56" s="117">
        <f>SUMIFS('План продаж'!$Q:$Q,'План продаж'!$B:$B,'Скидки и клиентская база'!$B56)</f>
        <v>2251266.666666666</v>
      </c>
      <c r="H56" s="117">
        <f t="shared" si="10"/>
        <v>1</v>
      </c>
      <c r="I56" s="117">
        <f>'Пропускная способность'!$D$5*INDEX(Коэф_Сценария,MATCH(Нстр_Сценарий,Сценарии,0),1)*H56*30*SUM('План продаж'!H55:J55)</f>
        <v>238.55421686746988</v>
      </c>
      <c r="J56" s="117">
        <f t="shared" si="4"/>
        <v>49</v>
      </c>
      <c r="K56" s="117">
        <f t="shared" si="11"/>
        <v>51</v>
      </c>
      <c r="L56" s="117">
        <f t="shared" si="11"/>
        <v>53</v>
      </c>
      <c r="M56" s="117">
        <f t="shared" si="11"/>
        <v>55</v>
      </c>
      <c r="N56" s="117">
        <f t="shared" si="11"/>
        <v>57</v>
      </c>
      <c r="O56" s="117">
        <f t="shared" si="9"/>
        <v>119.27710843373494</v>
      </c>
      <c r="P56" s="117">
        <f t="shared" si="9"/>
        <v>71.566265060240966</v>
      </c>
      <c r="Q56" s="117">
        <f t="shared" si="9"/>
        <v>23.85542168674699</v>
      </c>
      <c r="R56" s="117">
        <f t="shared" si="9"/>
        <v>11.927710843373495</v>
      </c>
      <c r="S56" s="117">
        <f t="shared" si="9"/>
        <v>11.927710843373495</v>
      </c>
      <c r="T56" s="117">
        <f>-$Y$5*O56*'Пропускная способность'!$G$20</f>
        <v>0</v>
      </c>
      <c r="U56" s="117">
        <f>-SUMIFS($S$6:$S$67,$N$6:$N$67,$B56)*'Пропускная способность'!$G$20</f>
        <v>-25799.638554216868</v>
      </c>
    </row>
    <row r="57" spans="2:21" x14ac:dyDescent="0.25">
      <c r="B57" s="117">
        <f t="shared" si="5"/>
        <v>50</v>
      </c>
      <c r="C57" s="117">
        <f t="shared" si="7"/>
        <v>4</v>
      </c>
      <c r="D57" s="117">
        <f t="shared" si="3"/>
        <v>2022</v>
      </c>
      <c r="E57" s="147">
        <f>EOMONTH(Настройки!$I$7,B57)</f>
        <v>44681</v>
      </c>
      <c r="F57" s="117" t="str">
        <f>INDEX(Сезонность!$G$7:$G$18,MATCH(C57,Сезонность!$F$7:$F$18,0),1)</f>
        <v>Весна</v>
      </c>
      <c r="G57" s="117">
        <f>SUMIFS('План продаж'!$Q:$Q,'План продаж'!$B:$B,'Скидки и клиентская база'!$B57)</f>
        <v>2251266.666666666</v>
      </c>
      <c r="H57" s="117">
        <f t="shared" si="10"/>
        <v>1</v>
      </c>
      <c r="I57" s="117">
        <f>'Пропускная способность'!$D$5*INDEX(Коэф_Сценария,MATCH(Нстр_Сценарий,Сценарии,0),1)*H57*30*SUM('План продаж'!H56:J56)</f>
        <v>238.55421686746988</v>
      </c>
      <c r="J57" s="117">
        <f t="shared" si="4"/>
        <v>50</v>
      </c>
      <c r="K57" s="117">
        <f t="shared" si="11"/>
        <v>52</v>
      </c>
      <c r="L57" s="117">
        <f t="shared" si="11"/>
        <v>54</v>
      </c>
      <c r="M57" s="117">
        <f t="shared" si="11"/>
        <v>56</v>
      </c>
      <c r="N57" s="117">
        <f t="shared" si="11"/>
        <v>58</v>
      </c>
      <c r="O57" s="117">
        <f t="shared" si="9"/>
        <v>119.27710843373494</v>
      </c>
      <c r="P57" s="117">
        <f t="shared" si="9"/>
        <v>71.566265060240966</v>
      </c>
      <c r="Q57" s="117">
        <f t="shared" si="9"/>
        <v>23.85542168674699</v>
      </c>
      <c r="R57" s="117">
        <f t="shared" si="9"/>
        <v>11.927710843373495</v>
      </c>
      <c r="S57" s="117">
        <f t="shared" si="9"/>
        <v>11.927710843373495</v>
      </c>
      <c r="T57" s="117">
        <f>-$Y$5*O57*'Пропускная способность'!$G$20</f>
        <v>0</v>
      </c>
      <c r="U57" s="117">
        <f>-SUMIFS($S$6:$S$67,$N$6:$N$67,$B57)*'Пропускная способность'!$G$20</f>
        <v>-25799.638554216868</v>
      </c>
    </row>
    <row r="58" spans="2:21" x14ac:dyDescent="0.25">
      <c r="B58" s="117">
        <f t="shared" si="5"/>
        <v>51</v>
      </c>
      <c r="C58" s="117">
        <f t="shared" si="7"/>
        <v>5</v>
      </c>
      <c r="D58" s="117">
        <f t="shared" si="3"/>
        <v>2022</v>
      </c>
      <c r="E58" s="147">
        <f>EOMONTH(Настройки!$I$7,B58)</f>
        <v>44712</v>
      </c>
      <c r="F58" s="117" t="str">
        <f>INDEX(Сезонность!$G$7:$G$18,MATCH(C58,Сезонность!$F$7:$F$18,0),1)</f>
        <v>Весна</v>
      </c>
      <c r="G58" s="117">
        <f>SUMIFS('План продаж'!$Q:$Q,'План продаж'!$B:$B,'Скидки и клиентская база'!$B58)</f>
        <v>1688449.9999999995</v>
      </c>
      <c r="H58" s="117">
        <f t="shared" si="10"/>
        <v>1</v>
      </c>
      <c r="I58" s="117">
        <f>'Пропускная способность'!$D$5*INDEX(Коэф_Сценария,MATCH(Нстр_Сценарий,Сценарии,0),1)*H58*30*SUM('План продаж'!H57:J57)</f>
        <v>238.55421686746988</v>
      </c>
      <c r="J58" s="117">
        <f t="shared" si="4"/>
        <v>51</v>
      </c>
      <c r="K58" s="117">
        <f t="shared" si="11"/>
        <v>53</v>
      </c>
      <c r="L58" s="117">
        <f t="shared" si="11"/>
        <v>55</v>
      </c>
      <c r="M58" s="117">
        <f t="shared" si="11"/>
        <v>57</v>
      </c>
      <c r="N58" s="117">
        <f t="shared" si="11"/>
        <v>59</v>
      </c>
      <c r="O58" s="117">
        <f t="shared" si="9"/>
        <v>119.27710843373494</v>
      </c>
      <c r="P58" s="117">
        <f t="shared" si="9"/>
        <v>71.566265060240966</v>
      </c>
      <c r="Q58" s="117">
        <f t="shared" si="9"/>
        <v>23.85542168674699</v>
      </c>
      <c r="R58" s="117">
        <f t="shared" si="9"/>
        <v>11.927710843373495</v>
      </c>
      <c r="S58" s="117">
        <f t="shared" si="9"/>
        <v>11.927710843373495</v>
      </c>
      <c r="T58" s="117">
        <f>-$Y$5*O58*'Пропускная способность'!$G$20</f>
        <v>0</v>
      </c>
      <c r="U58" s="117">
        <f>-SUMIFS($S$6:$S$67,$N$6:$N$67,$B58)*'Пропускная способность'!$G$20</f>
        <v>-25799.638554216868</v>
      </c>
    </row>
    <row r="59" spans="2:21" x14ac:dyDescent="0.25">
      <c r="B59" s="117">
        <f t="shared" si="5"/>
        <v>52</v>
      </c>
      <c r="C59" s="117">
        <f t="shared" si="7"/>
        <v>6</v>
      </c>
      <c r="D59" s="117">
        <f t="shared" si="3"/>
        <v>2022</v>
      </c>
      <c r="E59" s="147">
        <f>EOMONTH(Настройки!$I$7,B59)</f>
        <v>44742</v>
      </c>
      <c r="F59" s="117" t="str">
        <f>INDEX(Сезонность!$G$7:$G$18,MATCH(C59,Сезонность!$F$7:$F$18,0),1)</f>
        <v>Лето</v>
      </c>
      <c r="G59" s="117">
        <f>SUMIFS('План продаж'!$Q:$Q,'План продаж'!$B:$B,'Скидки и клиентская база'!$B59)</f>
        <v>1688449.9999999995</v>
      </c>
      <c r="H59" s="117">
        <f t="shared" si="10"/>
        <v>1</v>
      </c>
      <c r="I59" s="117">
        <f>'Пропускная способность'!$D$5*INDEX(Коэф_Сценария,MATCH(Нстр_Сценарий,Сценарии,0),1)*H59*30*SUM('План продаж'!H58:J58)</f>
        <v>238.55421686746988</v>
      </c>
      <c r="J59" s="117">
        <f t="shared" si="4"/>
        <v>52</v>
      </c>
      <c r="K59" s="117">
        <f t="shared" si="11"/>
        <v>54</v>
      </c>
      <c r="L59" s="117">
        <f t="shared" si="11"/>
        <v>56</v>
      </c>
      <c r="M59" s="117">
        <f t="shared" si="11"/>
        <v>58</v>
      </c>
      <c r="N59" s="117">
        <f t="shared" si="11"/>
        <v>60</v>
      </c>
      <c r="O59" s="117">
        <f t="shared" si="9"/>
        <v>119.27710843373494</v>
      </c>
      <c r="P59" s="117">
        <f t="shared" si="9"/>
        <v>71.566265060240966</v>
      </c>
      <c r="Q59" s="117">
        <f t="shared" si="9"/>
        <v>23.85542168674699</v>
      </c>
      <c r="R59" s="117">
        <f t="shared" si="9"/>
        <v>11.927710843373495</v>
      </c>
      <c r="S59" s="117">
        <f t="shared" si="9"/>
        <v>11.927710843373495</v>
      </c>
      <c r="T59" s="117">
        <f>-$Y$5*O59*'Пропускная способность'!$G$20</f>
        <v>0</v>
      </c>
      <c r="U59" s="117">
        <f>-SUMIFS($S$6:$S$67,$N$6:$N$67,$B59)*'Пропускная способность'!$G$20</f>
        <v>-25799.638554216868</v>
      </c>
    </row>
    <row r="60" spans="2:21" x14ac:dyDescent="0.25">
      <c r="B60" s="117">
        <f t="shared" si="5"/>
        <v>53</v>
      </c>
      <c r="C60" s="117">
        <f t="shared" si="7"/>
        <v>7</v>
      </c>
      <c r="D60" s="117">
        <f t="shared" si="3"/>
        <v>2022</v>
      </c>
      <c r="E60" s="147">
        <f>EOMONTH(Настройки!$I$7,B60)</f>
        <v>44773</v>
      </c>
      <c r="F60" s="117" t="str">
        <f>INDEX(Сезонность!$G$7:$G$18,MATCH(C60,Сезонность!$F$7:$F$18,0),1)</f>
        <v>Лето</v>
      </c>
      <c r="G60" s="117">
        <f>SUMIFS('План продаж'!$Q:$Q,'План продаж'!$B:$B,'Скидки и клиентская база'!$B60)</f>
        <v>1688449.9999999995</v>
      </c>
      <c r="H60" s="117">
        <f t="shared" si="10"/>
        <v>1</v>
      </c>
      <c r="I60" s="117">
        <f>'Пропускная способность'!$D$5*INDEX(Коэф_Сценария,MATCH(Нстр_Сценарий,Сценарии,0),1)*H60*30*SUM('План продаж'!H59:J59)</f>
        <v>238.55421686746988</v>
      </c>
      <c r="J60" s="117">
        <f t="shared" si="4"/>
        <v>53</v>
      </c>
      <c r="K60" s="117">
        <f t="shared" si="11"/>
        <v>55</v>
      </c>
      <c r="L60" s="117">
        <f t="shared" si="11"/>
        <v>57</v>
      </c>
      <c r="M60" s="117">
        <f t="shared" si="11"/>
        <v>59</v>
      </c>
      <c r="N60" s="117">
        <f t="shared" si="11"/>
        <v>61</v>
      </c>
      <c r="O60" s="117">
        <f t="shared" si="9"/>
        <v>119.27710843373494</v>
      </c>
      <c r="P60" s="117">
        <f t="shared" si="9"/>
        <v>71.566265060240966</v>
      </c>
      <c r="Q60" s="117">
        <f t="shared" si="9"/>
        <v>23.85542168674699</v>
      </c>
      <c r="R60" s="117">
        <f t="shared" si="9"/>
        <v>11.927710843373495</v>
      </c>
      <c r="S60" s="117">
        <f t="shared" si="9"/>
        <v>11.927710843373495</v>
      </c>
      <c r="T60" s="117">
        <f>-$Y$5*O60*'Пропускная способность'!$G$20</f>
        <v>0</v>
      </c>
      <c r="U60" s="117">
        <f>-SUMIFS($S$6:$S$67,$N$6:$N$67,$B60)*'Пропускная способность'!$G$20</f>
        <v>-25799.638554216868</v>
      </c>
    </row>
    <row r="61" spans="2:21" x14ac:dyDescent="0.25">
      <c r="B61" s="117">
        <f t="shared" si="5"/>
        <v>54</v>
      </c>
      <c r="C61" s="117">
        <f t="shared" si="7"/>
        <v>8</v>
      </c>
      <c r="D61" s="117">
        <f t="shared" si="3"/>
        <v>2022</v>
      </c>
      <c r="E61" s="147">
        <f>EOMONTH(Настройки!$I$7,B61)</f>
        <v>44804</v>
      </c>
      <c r="F61" s="117" t="str">
        <f>INDEX(Сезонность!$G$7:$G$18,MATCH(C61,Сезонность!$F$7:$F$18,0),1)</f>
        <v>Лето</v>
      </c>
      <c r="G61" s="117">
        <f>SUMIFS('План продаж'!$Q:$Q,'План продаж'!$B:$B,'Скидки и клиентская база'!$B61)</f>
        <v>1688449.9999999995</v>
      </c>
      <c r="H61" s="117">
        <f t="shared" si="10"/>
        <v>1</v>
      </c>
      <c r="I61" s="117">
        <f>'Пропускная способность'!$D$5*INDEX(Коэф_Сценария,MATCH(Нстр_Сценарий,Сценарии,0),1)*H61*30*SUM('План продаж'!H60:J60)</f>
        <v>238.55421686746988</v>
      </c>
      <c r="J61" s="117">
        <f t="shared" si="4"/>
        <v>54</v>
      </c>
      <c r="K61" s="117">
        <f t="shared" si="11"/>
        <v>56</v>
      </c>
      <c r="L61" s="117">
        <f t="shared" si="11"/>
        <v>58</v>
      </c>
      <c r="M61" s="117">
        <f t="shared" si="11"/>
        <v>60</v>
      </c>
      <c r="N61" s="117">
        <f t="shared" si="11"/>
        <v>62</v>
      </c>
      <c r="O61" s="117">
        <f t="shared" ref="O61:S67" si="12">O$4*$I61</f>
        <v>119.27710843373494</v>
      </c>
      <c r="P61" s="117">
        <f t="shared" si="12"/>
        <v>71.566265060240966</v>
      </c>
      <c r="Q61" s="117">
        <f t="shared" si="12"/>
        <v>23.85542168674699</v>
      </c>
      <c r="R61" s="117">
        <f t="shared" si="12"/>
        <v>11.927710843373495</v>
      </c>
      <c r="S61" s="117">
        <f t="shared" si="12"/>
        <v>11.927710843373495</v>
      </c>
      <c r="T61" s="117">
        <f>-$Y$5*O61*'Пропускная способность'!$G$20</f>
        <v>0</v>
      </c>
      <c r="U61" s="117">
        <f>-SUMIFS($S$6:$S$67,$N$6:$N$67,$B61)*'Пропускная способность'!$G$20</f>
        <v>-25799.638554216868</v>
      </c>
    </row>
    <row r="62" spans="2:21" x14ac:dyDescent="0.25">
      <c r="B62" s="117">
        <f t="shared" si="5"/>
        <v>55</v>
      </c>
      <c r="C62" s="117">
        <f t="shared" si="7"/>
        <v>9</v>
      </c>
      <c r="D62" s="117">
        <f t="shared" si="3"/>
        <v>2022</v>
      </c>
      <c r="E62" s="147">
        <f>EOMONTH(Настройки!$I$7,B62)</f>
        <v>44834</v>
      </c>
      <c r="F62" s="117" t="str">
        <f>INDEX(Сезонность!$G$7:$G$18,MATCH(C62,Сезонность!$F$7:$F$18,0),1)</f>
        <v>Осень</v>
      </c>
      <c r="G62" s="117">
        <f>SUMIFS('План продаж'!$Q:$Q,'План продаж'!$B:$B,'Скидки и клиентская база'!$B62)</f>
        <v>1688449.9999999995</v>
      </c>
      <c r="H62" s="117">
        <f t="shared" si="10"/>
        <v>1</v>
      </c>
      <c r="I62" s="117">
        <f>'Пропускная способность'!$D$5*INDEX(Коэф_Сценария,MATCH(Нстр_Сценарий,Сценарии,0),1)*H62*30*SUM('План продаж'!H61:J61)</f>
        <v>238.55421686746988</v>
      </c>
      <c r="J62" s="117">
        <f t="shared" si="4"/>
        <v>55</v>
      </c>
      <c r="K62" s="117">
        <f t="shared" si="11"/>
        <v>57</v>
      </c>
      <c r="L62" s="117">
        <f t="shared" si="11"/>
        <v>59</v>
      </c>
      <c r="M62" s="117">
        <f t="shared" si="11"/>
        <v>61</v>
      </c>
      <c r="N62" s="117">
        <f t="shared" si="11"/>
        <v>63</v>
      </c>
      <c r="O62" s="117">
        <f t="shared" si="12"/>
        <v>119.27710843373494</v>
      </c>
      <c r="P62" s="117">
        <f t="shared" si="12"/>
        <v>71.566265060240966</v>
      </c>
      <c r="Q62" s="117">
        <f t="shared" si="12"/>
        <v>23.85542168674699</v>
      </c>
      <c r="R62" s="117">
        <f t="shared" si="12"/>
        <v>11.927710843373495</v>
      </c>
      <c r="S62" s="117">
        <f t="shared" si="12"/>
        <v>11.927710843373495</v>
      </c>
      <c r="T62" s="117">
        <f>-$Y$5*O62*'Пропускная способность'!$G$20</f>
        <v>0</v>
      </c>
      <c r="U62" s="117">
        <f>-SUMIFS($S$6:$S$67,$N$6:$N$67,$B62)*'Пропускная способность'!$G$20</f>
        <v>-25799.638554216868</v>
      </c>
    </row>
    <row r="63" spans="2:21" x14ac:dyDescent="0.25">
      <c r="B63" s="117">
        <f t="shared" si="5"/>
        <v>56</v>
      </c>
      <c r="C63" s="117">
        <f t="shared" si="7"/>
        <v>10</v>
      </c>
      <c r="D63" s="117">
        <f t="shared" si="3"/>
        <v>2022</v>
      </c>
      <c r="E63" s="147">
        <f>EOMONTH(Настройки!$I$7,B63)</f>
        <v>44865</v>
      </c>
      <c r="F63" s="117" t="str">
        <f>INDEX(Сезонность!$G$7:$G$18,MATCH(C63,Сезонность!$F$7:$F$18,0),1)</f>
        <v>Осень</v>
      </c>
      <c r="G63" s="117">
        <f>SUMIFS('План продаж'!$Q:$Q,'План продаж'!$B:$B,'Скидки и клиентская база'!$B63)</f>
        <v>2251266.666666666</v>
      </c>
      <c r="H63" s="117">
        <f t="shared" si="10"/>
        <v>1</v>
      </c>
      <c r="I63" s="117">
        <f>'Пропускная способность'!$D$5*INDEX(Коэф_Сценария,MATCH(Нстр_Сценарий,Сценарии,0),1)*H63*30*SUM('План продаж'!H62:J62)</f>
        <v>238.55421686746988</v>
      </c>
      <c r="J63" s="117">
        <f t="shared" si="4"/>
        <v>56</v>
      </c>
      <c r="K63" s="117">
        <f t="shared" si="11"/>
        <v>58</v>
      </c>
      <c r="L63" s="117">
        <f t="shared" si="11"/>
        <v>60</v>
      </c>
      <c r="M63" s="117">
        <f t="shared" si="11"/>
        <v>62</v>
      </c>
      <c r="N63" s="117">
        <f t="shared" si="11"/>
        <v>64</v>
      </c>
      <c r="O63" s="117">
        <f t="shared" si="12"/>
        <v>119.27710843373494</v>
      </c>
      <c r="P63" s="117">
        <f t="shared" si="12"/>
        <v>71.566265060240966</v>
      </c>
      <c r="Q63" s="117">
        <f t="shared" si="12"/>
        <v>23.85542168674699</v>
      </c>
      <c r="R63" s="117">
        <f t="shared" si="12"/>
        <v>11.927710843373495</v>
      </c>
      <c r="S63" s="117">
        <f t="shared" si="12"/>
        <v>11.927710843373495</v>
      </c>
      <c r="T63" s="117">
        <f>-$Y$5*O63*'Пропускная способность'!$G$20</f>
        <v>0</v>
      </c>
      <c r="U63" s="117">
        <f>-SUMIFS($S$6:$S$67,$N$6:$N$67,$B63)*'Пропускная способность'!$G$20</f>
        <v>-25799.638554216868</v>
      </c>
    </row>
    <row r="64" spans="2:21" x14ac:dyDescent="0.25">
      <c r="B64" s="117">
        <f t="shared" si="5"/>
        <v>57</v>
      </c>
      <c r="C64" s="117">
        <f t="shared" si="7"/>
        <v>11</v>
      </c>
      <c r="D64" s="117">
        <f t="shared" si="3"/>
        <v>2022</v>
      </c>
      <c r="E64" s="147">
        <f>EOMONTH(Настройки!$I$7,B64)</f>
        <v>44895</v>
      </c>
      <c r="F64" s="117" t="str">
        <f>INDEX(Сезонность!$G$7:$G$18,MATCH(C64,Сезонность!$F$7:$F$18,0),1)</f>
        <v>Осень</v>
      </c>
      <c r="G64" s="117">
        <f>SUMIFS('План продаж'!$Q:$Q,'План продаж'!$B:$B,'Скидки и клиентская база'!$B64)</f>
        <v>2251266.666666666</v>
      </c>
      <c r="H64" s="117">
        <f t="shared" si="10"/>
        <v>1</v>
      </c>
      <c r="I64" s="117">
        <f>'Пропускная способность'!$D$5*INDEX(Коэф_Сценария,MATCH(Нстр_Сценарий,Сценарии,0),1)*H64*30*SUM('План продаж'!H63:J63)</f>
        <v>238.55421686746988</v>
      </c>
      <c r="J64" s="117">
        <f t="shared" si="4"/>
        <v>57</v>
      </c>
      <c r="K64" s="117">
        <f t="shared" si="11"/>
        <v>59</v>
      </c>
      <c r="L64" s="117">
        <f t="shared" si="11"/>
        <v>61</v>
      </c>
      <c r="M64" s="117">
        <f t="shared" si="11"/>
        <v>63</v>
      </c>
      <c r="N64" s="117">
        <f t="shared" si="11"/>
        <v>65</v>
      </c>
      <c r="O64" s="117">
        <f t="shared" si="12"/>
        <v>119.27710843373494</v>
      </c>
      <c r="P64" s="117">
        <f t="shared" si="12"/>
        <v>71.566265060240966</v>
      </c>
      <c r="Q64" s="117">
        <f t="shared" si="12"/>
        <v>23.85542168674699</v>
      </c>
      <c r="R64" s="117">
        <f t="shared" si="12"/>
        <v>11.927710843373495</v>
      </c>
      <c r="S64" s="117">
        <f t="shared" si="12"/>
        <v>11.927710843373495</v>
      </c>
      <c r="T64" s="117">
        <f>-$Y$5*O64*'Пропускная способность'!$G$20</f>
        <v>0</v>
      </c>
      <c r="U64" s="117">
        <f>-SUMIFS($S$6:$S$67,$N$6:$N$67,$B64)*'Пропускная способность'!$G$20</f>
        <v>-25799.638554216868</v>
      </c>
    </row>
    <row r="65" spans="2:21" x14ac:dyDescent="0.25">
      <c r="B65" s="117">
        <f t="shared" si="5"/>
        <v>58</v>
      </c>
      <c r="C65" s="117">
        <f t="shared" si="7"/>
        <v>12</v>
      </c>
      <c r="D65" s="117">
        <f t="shared" si="3"/>
        <v>2022</v>
      </c>
      <c r="E65" s="147">
        <f>EOMONTH(Настройки!$I$7,B65)</f>
        <v>44926</v>
      </c>
      <c r="F65" s="117" t="str">
        <f>INDEX(Сезонность!$G$7:$G$18,MATCH(C65,Сезонность!$F$7:$F$18,0),1)</f>
        <v>Зима</v>
      </c>
      <c r="G65" s="117">
        <f>SUMIFS('План продаж'!$Q:$Q,'План продаж'!$B:$B,'Скидки и клиентская база'!$B65)</f>
        <v>2251266.666666666</v>
      </c>
      <c r="H65" s="117">
        <f t="shared" si="10"/>
        <v>1</v>
      </c>
      <c r="I65" s="117">
        <f>'Пропускная способность'!$D$5*INDEX(Коэф_Сценария,MATCH(Нстр_Сценарий,Сценарии,0),1)*H65*30*SUM('План продаж'!H64:J64)</f>
        <v>238.55421686746988</v>
      </c>
      <c r="J65" s="117">
        <f t="shared" si="4"/>
        <v>58</v>
      </c>
      <c r="K65" s="117">
        <f t="shared" si="11"/>
        <v>60</v>
      </c>
      <c r="L65" s="117">
        <f t="shared" si="11"/>
        <v>62</v>
      </c>
      <c r="M65" s="117">
        <f t="shared" si="11"/>
        <v>64</v>
      </c>
      <c r="N65" s="117">
        <f t="shared" si="11"/>
        <v>66</v>
      </c>
      <c r="O65" s="117">
        <f t="shared" si="12"/>
        <v>119.27710843373494</v>
      </c>
      <c r="P65" s="117">
        <f t="shared" si="12"/>
        <v>71.566265060240966</v>
      </c>
      <c r="Q65" s="117">
        <f t="shared" si="12"/>
        <v>23.85542168674699</v>
      </c>
      <c r="R65" s="117">
        <f t="shared" si="12"/>
        <v>11.927710843373495</v>
      </c>
      <c r="S65" s="117">
        <f t="shared" si="12"/>
        <v>11.927710843373495</v>
      </c>
      <c r="T65" s="117">
        <f>-$Y$5*O65*'Пропускная способность'!$G$20</f>
        <v>0</v>
      </c>
      <c r="U65" s="117">
        <f>-SUMIFS($S$6:$S$67,$N$6:$N$67,$B65)*'Пропускная способность'!$G$20</f>
        <v>-25799.638554216868</v>
      </c>
    </row>
    <row r="66" spans="2:21" x14ac:dyDescent="0.25">
      <c r="B66" s="117">
        <f t="shared" si="5"/>
        <v>59</v>
      </c>
      <c r="C66" s="117">
        <f t="shared" si="7"/>
        <v>1</v>
      </c>
      <c r="D66" s="117">
        <f t="shared" si="3"/>
        <v>2023</v>
      </c>
      <c r="E66" s="147">
        <f>EOMONTH(Настройки!$I$7,B66)</f>
        <v>44957</v>
      </c>
      <c r="F66" s="117" t="str">
        <f>INDEX(Сезонность!$G$7:$G$18,MATCH(C66,Сезонность!$F$7:$F$18,0),1)</f>
        <v>Зима</v>
      </c>
      <c r="G66" s="117">
        <f>SUMIFS('План продаж'!$Q:$Q,'План продаж'!$B:$B,'Скидки и клиентская база'!$B66)</f>
        <v>2251266.666666666</v>
      </c>
      <c r="H66" s="117">
        <f t="shared" si="10"/>
        <v>1</v>
      </c>
      <c r="I66" s="117">
        <f>'Пропускная способность'!$D$5*INDEX(Коэф_Сценария,MATCH(Нстр_Сценарий,Сценарии,0),1)*H66*30*SUM('План продаж'!H65:J65)</f>
        <v>238.55421686746988</v>
      </c>
      <c r="J66" s="117">
        <f t="shared" si="4"/>
        <v>59</v>
      </c>
      <c r="K66" s="117">
        <f t="shared" si="11"/>
        <v>61</v>
      </c>
      <c r="L66" s="117">
        <f t="shared" si="11"/>
        <v>63</v>
      </c>
      <c r="M66" s="117">
        <f t="shared" si="11"/>
        <v>65</v>
      </c>
      <c r="N66" s="117">
        <f t="shared" si="11"/>
        <v>67</v>
      </c>
      <c r="O66" s="117">
        <f t="shared" si="12"/>
        <v>119.27710843373494</v>
      </c>
      <c r="P66" s="117">
        <f t="shared" si="12"/>
        <v>71.566265060240966</v>
      </c>
      <c r="Q66" s="117">
        <f t="shared" si="12"/>
        <v>23.85542168674699</v>
      </c>
      <c r="R66" s="117">
        <f t="shared" si="12"/>
        <v>11.927710843373495</v>
      </c>
      <c r="S66" s="117">
        <f t="shared" si="12"/>
        <v>11.927710843373495</v>
      </c>
      <c r="T66" s="117">
        <f>-$Y$5*O66*'Пропускная способность'!$G$20</f>
        <v>0</v>
      </c>
      <c r="U66" s="117">
        <f>-SUMIFS($S$6:$S$67,$N$6:$N$67,$B66)*'Пропускная способность'!$G$20</f>
        <v>-25799.638554216868</v>
      </c>
    </row>
    <row r="67" spans="2:21" x14ac:dyDescent="0.25">
      <c r="B67" s="117">
        <f t="shared" si="5"/>
        <v>60</v>
      </c>
      <c r="C67" s="117">
        <f t="shared" si="7"/>
        <v>2</v>
      </c>
      <c r="D67" s="117">
        <f t="shared" si="3"/>
        <v>2023</v>
      </c>
      <c r="E67" s="147">
        <f>EOMONTH(Настройки!$I$7,B67)</f>
        <v>44985</v>
      </c>
      <c r="F67" s="117" t="str">
        <f>INDEX(Сезонность!$G$7:$G$18,MATCH(C67,Сезонность!$F$7:$F$18,0),1)</f>
        <v>Зима</v>
      </c>
      <c r="G67" s="117">
        <f>SUMIFS('План продаж'!$Q:$Q,'План продаж'!$B:$B,'Скидки и клиентская база'!$B67)</f>
        <v>2251266.666666666</v>
      </c>
      <c r="H67" s="117">
        <f t="shared" si="10"/>
        <v>1</v>
      </c>
      <c r="I67" s="117">
        <f>'Пропускная способность'!$D$5*INDEX(Коэф_Сценария,MATCH(Нстр_Сценарий,Сценарии,0),1)*H67*30*SUM('План продаж'!H66:J66)</f>
        <v>238.55421686746988</v>
      </c>
      <c r="J67" s="117">
        <f t="shared" si="4"/>
        <v>60</v>
      </c>
      <c r="K67" s="117">
        <f t="shared" ref="K67:N67" si="13">J67+$Y$15</f>
        <v>62</v>
      </c>
      <c r="L67" s="117">
        <f t="shared" si="13"/>
        <v>64</v>
      </c>
      <c r="M67" s="117">
        <f t="shared" si="13"/>
        <v>66</v>
      </c>
      <c r="N67" s="117">
        <f t="shared" si="13"/>
        <v>68</v>
      </c>
      <c r="O67" s="117">
        <f t="shared" si="12"/>
        <v>119.27710843373494</v>
      </c>
      <c r="P67" s="117">
        <f t="shared" si="12"/>
        <v>71.566265060240966</v>
      </c>
      <c r="Q67" s="117">
        <f t="shared" si="12"/>
        <v>23.85542168674699</v>
      </c>
      <c r="R67" s="117">
        <f t="shared" si="12"/>
        <v>11.927710843373495</v>
      </c>
      <c r="S67" s="117">
        <f t="shared" si="12"/>
        <v>11.927710843373495</v>
      </c>
      <c r="T67" s="117">
        <f>-$Y$5*O67*'Пропускная способность'!$G$20</f>
        <v>0</v>
      </c>
      <c r="U67" s="117">
        <f>-SUMIFS($S$6:$S$67,$N$6:$N$67,$B67)*'Пропускная способность'!$G$20</f>
        <v>-25799.638554216868</v>
      </c>
    </row>
  </sheetData>
  <mergeCells count="1">
    <mergeCell ref="X7:Y7"/>
  </mergeCells>
  <pageMargins left="0.7" right="0.7" top="0.75" bottom="0.75" header="0.3" footer="0.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E178D-3815-41D2-A3F6-6D4499950AD9}">
  <dimension ref="A1:I17"/>
  <sheetViews>
    <sheetView workbookViewId="0">
      <selection activeCell="E14" sqref="E14:E17"/>
    </sheetView>
  </sheetViews>
  <sheetFormatPr defaultRowHeight="15" x14ac:dyDescent="0.25"/>
  <cols>
    <col min="1" max="1" width="43.28515625" bestFit="1" customWidth="1"/>
    <col min="2" max="2" width="11.7109375" bestFit="1" customWidth="1"/>
    <col min="3" max="3" width="6.85546875" bestFit="1" customWidth="1"/>
    <col min="4" max="4" width="7.140625" bestFit="1" customWidth="1"/>
    <col min="5" max="5" width="11.42578125" style="165" bestFit="1" customWidth="1"/>
    <col min="6" max="6" width="14.5703125" bestFit="1" customWidth="1"/>
    <col min="7" max="7" width="18.28515625" bestFit="1" customWidth="1"/>
    <col min="8" max="9" width="18.28515625" customWidth="1"/>
    <col min="12" max="12" width="9.28515625" customWidth="1"/>
    <col min="13" max="14" width="17.42578125" bestFit="1" customWidth="1"/>
    <col min="15" max="15" width="17.42578125" customWidth="1"/>
    <col min="16" max="16" width="18.85546875" customWidth="1"/>
    <col min="17" max="17" width="43.28515625" bestFit="1" customWidth="1"/>
    <col min="18" max="18" width="18" bestFit="1" customWidth="1"/>
    <col min="19" max="19" width="43.28515625" bestFit="1" customWidth="1"/>
  </cols>
  <sheetData>
    <row r="1" spans="1:9" x14ac:dyDescent="0.25">
      <c r="A1" s="161" t="s">
        <v>235</v>
      </c>
      <c r="D1" s="163" t="s">
        <v>243</v>
      </c>
      <c r="E1" s="164" t="s">
        <v>167</v>
      </c>
      <c r="F1" s="163" t="s">
        <v>241</v>
      </c>
      <c r="G1" s="163" t="s">
        <v>242</v>
      </c>
      <c r="H1" s="163"/>
      <c r="I1" s="163"/>
    </row>
    <row r="2" spans="1:9" x14ac:dyDescent="0.25">
      <c r="A2" t="s">
        <v>236</v>
      </c>
      <c r="B2" s="162">
        <v>12000</v>
      </c>
      <c r="C2" t="s">
        <v>237</v>
      </c>
      <c r="D2">
        <v>30</v>
      </c>
      <c r="E2" s="165">
        <f>B2*D2</f>
        <v>360000</v>
      </c>
      <c r="F2">
        <v>1</v>
      </c>
      <c r="G2">
        <v>4</v>
      </c>
    </row>
    <row r="3" spans="1:9" x14ac:dyDescent="0.25">
      <c r="A3" t="s">
        <v>238</v>
      </c>
      <c r="B3" s="162">
        <v>30000</v>
      </c>
      <c r="C3" t="s">
        <v>237</v>
      </c>
      <c r="D3">
        <v>30</v>
      </c>
      <c r="E3" s="165">
        <f t="shared" ref="E3:E5" si="0">B3*D3</f>
        <v>900000</v>
      </c>
      <c r="F3">
        <v>1</v>
      </c>
      <c r="G3">
        <v>4</v>
      </c>
    </row>
    <row r="4" spans="1:9" x14ac:dyDescent="0.25">
      <c r="A4" t="s">
        <v>239</v>
      </c>
      <c r="B4" s="162">
        <v>5000</v>
      </c>
      <c r="C4" t="s">
        <v>237</v>
      </c>
      <c r="D4">
        <v>22</v>
      </c>
      <c r="E4" s="165">
        <f t="shared" si="0"/>
        <v>110000</v>
      </c>
      <c r="F4">
        <v>2</v>
      </c>
      <c r="G4">
        <v>4</v>
      </c>
    </row>
    <row r="5" spans="1:9" x14ac:dyDescent="0.25">
      <c r="A5" t="s">
        <v>240</v>
      </c>
      <c r="B5" s="162">
        <v>10000</v>
      </c>
      <c r="C5" t="s">
        <v>237</v>
      </c>
      <c r="D5">
        <v>30</v>
      </c>
      <c r="E5" s="165">
        <f t="shared" si="0"/>
        <v>300000</v>
      </c>
      <c r="F5">
        <v>2</v>
      </c>
      <c r="G5">
        <v>4</v>
      </c>
    </row>
    <row r="6" spans="1:9" x14ac:dyDescent="0.25">
      <c r="A6" t="s">
        <v>236</v>
      </c>
      <c r="B6" s="162">
        <v>16000</v>
      </c>
      <c r="C6" t="s">
        <v>237</v>
      </c>
      <c r="D6">
        <v>30</v>
      </c>
      <c r="E6" s="165">
        <f t="shared" ref="E6:E9" si="1">B6*D6</f>
        <v>480000</v>
      </c>
      <c r="F6">
        <v>5</v>
      </c>
      <c r="G6">
        <v>9</v>
      </c>
    </row>
    <row r="7" spans="1:9" x14ac:dyDescent="0.25">
      <c r="A7" t="s">
        <v>238</v>
      </c>
      <c r="B7" s="162">
        <v>35000</v>
      </c>
      <c r="C7" t="s">
        <v>237</v>
      </c>
      <c r="D7">
        <v>30</v>
      </c>
      <c r="E7" s="165">
        <f t="shared" si="1"/>
        <v>1050000</v>
      </c>
      <c r="F7">
        <v>5</v>
      </c>
      <c r="G7">
        <v>9</v>
      </c>
    </row>
    <row r="8" spans="1:9" x14ac:dyDescent="0.25">
      <c r="A8" t="s">
        <v>239</v>
      </c>
      <c r="B8" s="162">
        <v>25000</v>
      </c>
      <c r="C8" t="s">
        <v>237</v>
      </c>
      <c r="D8">
        <v>22</v>
      </c>
      <c r="E8" s="165">
        <f t="shared" si="1"/>
        <v>550000</v>
      </c>
      <c r="F8">
        <v>5</v>
      </c>
      <c r="G8">
        <v>9</v>
      </c>
    </row>
    <row r="9" spans="1:9" x14ac:dyDescent="0.25">
      <c r="A9" t="s">
        <v>240</v>
      </c>
      <c r="B9" s="162">
        <v>20000</v>
      </c>
      <c r="C9" t="s">
        <v>237</v>
      </c>
      <c r="D9">
        <v>30</v>
      </c>
      <c r="E9" s="165">
        <f t="shared" si="1"/>
        <v>600000</v>
      </c>
      <c r="F9">
        <v>5</v>
      </c>
      <c r="G9">
        <v>9</v>
      </c>
    </row>
    <row r="10" spans="1:9" x14ac:dyDescent="0.25">
      <c r="A10" t="s">
        <v>236</v>
      </c>
      <c r="B10" s="162">
        <v>16000</v>
      </c>
      <c r="C10" t="s">
        <v>237</v>
      </c>
      <c r="D10">
        <v>30</v>
      </c>
      <c r="E10" s="165">
        <f t="shared" ref="E10:E13" si="2">B10*D10</f>
        <v>480000</v>
      </c>
      <c r="F10">
        <v>10</v>
      </c>
      <c r="G10">
        <v>14</v>
      </c>
    </row>
    <row r="11" spans="1:9" x14ac:dyDescent="0.25">
      <c r="A11" t="s">
        <v>238</v>
      </c>
      <c r="B11" s="162">
        <v>37000</v>
      </c>
      <c r="C11" t="s">
        <v>237</v>
      </c>
      <c r="D11">
        <v>30</v>
      </c>
      <c r="E11" s="165">
        <f t="shared" si="2"/>
        <v>1110000</v>
      </c>
      <c r="F11">
        <v>10</v>
      </c>
      <c r="G11">
        <v>14</v>
      </c>
    </row>
    <row r="12" spans="1:9" x14ac:dyDescent="0.25">
      <c r="A12" t="s">
        <v>239</v>
      </c>
      <c r="B12" s="162">
        <v>28000</v>
      </c>
      <c r="C12" t="s">
        <v>237</v>
      </c>
      <c r="D12">
        <v>22</v>
      </c>
      <c r="E12" s="165">
        <f t="shared" si="2"/>
        <v>616000</v>
      </c>
      <c r="F12">
        <v>10</v>
      </c>
      <c r="G12">
        <v>14</v>
      </c>
    </row>
    <row r="13" spans="1:9" x14ac:dyDescent="0.25">
      <c r="A13" t="s">
        <v>240</v>
      </c>
      <c r="B13" s="162">
        <v>28000</v>
      </c>
      <c r="C13" t="s">
        <v>237</v>
      </c>
      <c r="D13">
        <v>30</v>
      </c>
      <c r="E13" s="165">
        <f t="shared" si="2"/>
        <v>840000</v>
      </c>
      <c r="F13">
        <v>10</v>
      </c>
      <c r="G13">
        <v>14</v>
      </c>
    </row>
    <row r="14" spans="1:9" x14ac:dyDescent="0.25">
      <c r="A14" t="s">
        <v>236</v>
      </c>
      <c r="B14" s="162">
        <v>16000</v>
      </c>
      <c r="C14" t="s">
        <v>237</v>
      </c>
      <c r="D14">
        <v>30</v>
      </c>
      <c r="E14" s="165">
        <f t="shared" ref="E14:E17" si="3">B14*D14</f>
        <v>480000</v>
      </c>
      <c r="F14">
        <v>15</v>
      </c>
      <c r="G14" s="163">
        <f>Настройки!$I$5*12</f>
        <v>60</v>
      </c>
    </row>
    <row r="15" spans="1:9" x14ac:dyDescent="0.25">
      <c r="A15" t="s">
        <v>238</v>
      </c>
      <c r="B15" s="162">
        <v>37000</v>
      </c>
      <c r="C15" t="s">
        <v>237</v>
      </c>
      <c r="D15">
        <v>30</v>
      </c>
      <c r="E15" s="165">
        <f t="shared" si="3"/>
        <v>1110000</v>
      </c>
      <c r="F15">
        <v>15</v>
      </c>
      <c r="G15" s="163">
        <f>Настройки!$I$5*12</f>
        <v>60</v>
      </c>
    </row>
    <row r="16" spans="1:9" x14ac:dyDescent="0.25">
      <c r="A16" t="s">
        <v>239</v>
      </c>
      <c r="B16" s="162">
        <v>50000</v>
      </c>
      <c r="C16" t="s">
        <v>237</v>
      </c>
      <c r="D16">
        <v>22</v>
      </c>
      <c r="E16" s="165">
        <f t="shared" si="3"/>
        <v>1100000</v>
      </c>
      <c r="F16">
        <v>15</v>
      </c>
      <c r="G16" s="163">
        <f>Настройки!$I$5*12</f>
        <v>60</v>
      </c>
    </row>
    <row r="17" spans="1:7" x14ac:dyDescent="0.25">
      <c r="A17" t="s">
        <v>240</v>
      </c>
      <c r="B17" s="162">
        <v>35000</v>
      </c>
      <c r="C17" t="s">
        <v>237</v>
      </c>
      <c r="D17">
        <v>30</v>
      </c>
      <c r="E17" s="165">
        <f t="shared" si="3"/>
        <v>1050000</v>
      </c>
      <c r="F17">
        <v>15</v>
      </c>
      <c r="G17" s="163">
        <f>Настройки!$I$5*12</f>
        <v>60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A7326-2487-4968-8745-0D4FFFBE6BB2}">
  <dimension ref="A1:R62"/>
  <sheetViews>
    <sheetView workbookViewId="0">
      <selection activeCell="P47" sqref="P47"/>
    </sheetView>
  </sheetViews>
  <sheetFormatPr defaultRowHeight="15" outlineLevelRow="1" x14ac:dyDescent="0.25"/>
  <cols>
    <col min="2" max="2" width="47" bestFit="1" customWidth="1"/>
    <col min="3" max="3" width="15.42578125" customWidth="1"/>
    <col min="4" max="4" width="15" customWidth="1"/>
    <col min="5" max="5" width="14.42578125" customWidth="1"/>
    <col min="6" max="6" width="13.85546875" customWidth="1"/>
    <col min="7" max="8" width="15.5703125" bestFit="1" customWidth="1"/>
    <col min="9" max="10" width="10.7109375" bestFit="1" customWidth="1"/>
    <col min="11" max="12" width="9.140625" bestFit="1" customWidth="1"/>
    <col min="17" max="17" width="11.28515625" customWidth="1"/>
    <col min="18" max="18" width="11.42578125" customWidth="1"/>
  </cols>
  <sheetData>
    <row r="1" spans="1:7" ht="45" x14ac:dyDescent="0.25">
      <c r="A1" s="161" t="s">
        <v>244</v>
      </c>
      <c r="B1" s="161" t="s">
        <v>29</v>
      </c>
      <c r="C1" s="161" t="s">
        <v>245</v>
      </c>
      <c r="D1" s="172" t="s">
        <v>246</v>
      </c>
      <c r="E1" s="172" t="s">
        <v>247</v>
      </c>
      <c r="F1" s="172" t="s">
        <v>248</v>
      </c>
      <c r="G1" s="189" t="s">
        <v>293</v>
      </c>
    </row>
    <row r="2" spans="1:7" ht="15.75" customHeight="1" x14ac:dyDescent="0.25">
      <c r="A2" s="186"/>
      <c r="B2" s="187" t="s">
        <v>249</v>
      </c>
      <c r="C2" s="186"/>
      <c r="D2" s="188">
        <f>MEDIAN(D3:D12)</f>
        <v>15.565</v>
      </c>
      <c r="E2" s="188">
        <f>MEDIAN(E3:E12)</f>
        <v>54.477499999999999</v>
      </c>
      <c r="F2" s="188">
        <f>MEDIAN(F3:F12)</f>
        <v>62.26</v>
      </c>
      <c r="G2" s="190">
        <v>0.15</v>
      </c>
    </row>
    <row r="3" spans="1:7" hidden="1" outlineLevel="1" x14ac:dyDescent="0.25">
      <c r="A3" s="174">
        <v>1</v>
      </c>
      <c r="B3" s="175" t="s">
        <v>250</v>
      </c>
      <c r="C3" s="174">
        <v>300</v>
      </c>
      <c r="D3" s="176">
        <v>10.86</v>
      </c>
      <c r="E3" s="177">
        <f>D3*3.5</f>
        <v>38.01</v>
      </c>
      <c r="F3" s="178">
        <f>D3*4</f>
        <v>43.44</v>
      </c>
    </row>
    <row r="4" spans="1:7" hidden="1" outlineLevel="1" x14ac:dyDescent="0.25">
      <c r="A4" s="174">
        <v>2</v>
      </c>
      <c r="B4" s="175" t="s">
        <v>251</v>
      </c>
      <c r="C4" s="174">
        <v>150</v>
      </c>
      <c r="D4" s="176">
        <v>6.14</v>
      </c>
      <c r="E4" s="177">
        <f t="shared" ref="E4:E45" si="0">D4*3.5</f>
        <v>21.49</v>
      </c>
      <c r="F4" s="178">
        <f t="shared" ref="F4:F45" si="1">D4*4</f>
        <v>24.56</v>
      </c>
    </row>
    <row r="5" spans="1:7" hidden="1" outlineLevel="1" x14ac:dyDescent="0.25">
      <c r="A5" s="174">
        <v>3</v>
      </c>
      <c r="B5" s="175" t="s">
        <v>252</v>
      </c>
      <c r="C5" s="174">
        <v>400</v>
      </c>
      <c r="D5" s="176">
        <v>15</v>
      </c>
      <c r="E5" s="177">
        <f>D5*3.5</f>
        <v>52.5</v>
      </c>
      <c r="F5" s="178">
        <f t="shared" si="1"/>
        <v>60</v>
      </c>
    </row>
    <row r="6" spans="1:7" hidden="1" outlineLevel="1" x14ac:dyDescent="0.25">
      <c r="A6" s="174">
        <v>4</v>
      </c>
      <c r="B6" s="175" t="s">
        <v>253</v>
      </c>
      <c r="C6" s="174">
        <v>400</v>
      </c>
      <c r="D6" s="176">
        <v>12.22</v>
      </c>
      <c r="E6" s="177">
        <f>D6*3.5</f>
        <v>42.77</v>
      </c>
      <c r="F6" s="178">
        <f t="shared" si="1"/>
        <v>48.88</v>
      </c>
    </row>
    <row r="7" spans="1:7" hidden="1" outlineLevel="1" x14ac:dyDescent="0.25">
      <c r="A7" s="174">
        <v>5</v>
      </c>
      <c r="B7" s="175" t="s">
        <v>254</v>
      </c>
      <c r="C7" s="174">
        <v>350</v>
      </c>
      <c r="D7" s="179">
        <v>13.47</v>
      </c>
      <c r="E7" s="177">
        <f>D7*3.5</f>
        <v>47.145000000000003</v>
      </c>
      <c r="F7" s="178">
        <f t="shared" si="1"/>
        <v>53.88</v>
      </c>
    </row>
    <row r="8" spans="1:7" hidden="1" outlineLevel="1" x14ac:dyDescent="0.25">
      <c r="A8" s="174">
        <v>6</v>
      </c>
      <c r="B8" s="175" t="s">
        <v>255</v>
      </c>
      <c r="C8" s="174">
        <v>300</v>
      </c>
      <c r="D8" s="176">
        <v>24.95</v>
      </c>
      <c r="E8" s="177">
        <f>D8*3.5</f>
        <v>87.325000000000003</v>
      </c>
      <c r="F8" s="178">
        <f>D8*4</f>
        <v>99.8</v>
      </c>
    </row>
    <row r="9" spans="1:7" hidden="1" outlineLevel="1" x14ac:dyDescent="0.25">
      <c r="A9" s="174">
        <v>7</v>
      </c>
      <c r="B9" s="175" t="s">
        <v>256</v>
      </c>
      <c r="C9" s="174">
        <v>350</v>
      </c>
      <c r="D9" s="176">
        <v>18.98</v>
      </c>
      <c r="E9" s="177">
        <f>D9*3.5</f>
        <v>66.430000000000007</v>
      </c>
      <c r="F9" s="178">
        <f>D9*4</f>
        <v>75.92</v>
      </c>
    </row>
    <row r="10" spans="1:7" hidden="1" outlineLevel="1" x14ac:dyDescent="0.25">
      <c r="A10" s="174">
        <v>8</v>
      </c>
      <c r="B10" s="175" t="s">
        <v>257</v>
      </c>
      <c r="C10" s="174">
        <v>320</v>
      </c>
      <c r="D10" s="176">
        <v>16.809999999999999</v>
      </c>
      <c r="E10" s="177">
        <f t="shared" si="0"/>
        <v>58.834999999999994</v>
      </c>
      <c r="F10" s="178">
        <f t="shared" si="1"/>
        <v>67.239999999999995</v>
      </c>
    </row>
    <row r="11" spans="1:7" hidden="1" outlineLevel="1" x14ac:dyDescent="0.25">
      <c r="A11" s="174">
        <v>9</v>
      </c>
      <c r="B11" s="175" t="s">
        <v>258</v>
      </c>
      <c r="C11" s="174">
        <v>200</v>
      </c>
      <c r="D11" s="176">
        <v>27.04</v>
      </c>
      <c r="E11" s="177">
        <f t="shared" si="0"/>
        <v>94.64</v>
      </c>
      <c r="F11" s="178">
        <f t="shared" si="1"/>
        <v>108.16</v>
      </c>
    </row>
    <row r="12" spans="1:7" hidden="1" outlineLevel="1" x14ac:dyDescent="0.25">
      <c r="A12" s="174">
        <v>10</v>
      </c>
      <c r="B12" s="175" t="s">
        <v>259</v>
      </c>
      <c r="C12" s="174">
        <v>350</v>
      </c>
      <c r="D12" s="176">
        <v>16.13</v>
      </c>
      <c r="E12" s="177">
        <f t="shared" si="0"/>
        <v>56.454999999999998</v>
      </c>
      <c r="F12" s="178">
        <f t="shared" si="1"/>
        <v>64.52</v>
      </c>
    </row>
    <row r="13" spans="1:7" collapsed="1" x14ac:dyDescent="0.25">
      <c r="A13" s="186"/>
      <c r="B13" s="187" t="s">
        <v>260</v>
      </c>
      <c r="C13" s="186"/>
      <c r="D13" s="188">
        <f>MEDIAN(D14:D23)</f>
        <v>13.215</v>
      </c>
      <c r="E13" s="188">
        <f t="shared" ref="E13:F13" si="2">MEDIAN(E14:E23)</f>
        <v>46.252499999999998</v>
      </c>
      <c r="F13" s="188">
        <f t="shared" si="2"/>
        <v>52.86</v>
      </c>
      <c r="G13" s="190">
        <v>0.4</v>
      </c>
    </row>
    <row r="14" spans="1:7" hidden="1" outlineLevel="1" x14ac:dyDescent="0.25">
      <c r="A14" s="174">
        <v>11</v>
      </c>
      <c r="B14" s="175" t="s">
        <v>261</v>
      </c>
      <c r="C14" s="174">
        <v>70</v>
      </c>
      <c r="D14" s="176">
        <v>7.58</v>
      </c>
      <c r="E14" s="177">
        <f t="shared" si="0"/>
        <v>26.53</v>
      </c>
      <c r="F14" s="178">
        <f t="shared" si="1"/>
        <v>30.32</v>
      </c>
      <c r="G14" s="190"/>
    </row>
    <row r="15" spans="1:7" hidden="1" outlineLevel="1" x14ac:dyDescent="0.25">
      <c r="A15" s="174">
        <v>12</v>
      </c>
      <c r="B15" s="175" t="s">
        <v>262</v>
      </c>
      <c r="C15" s="174">
        <v>70</v>
      </c>
      <c r="D15" s="176">
        <v>12.01</v>
      </c>
      <c r="E15" s="177">
        <f t="shared" si="0"/>
        <v>42.034999999999997</v>
      </c>
      <c r="F15" s="178">
        <f t="shared" si="1"/>
        <v>48.04</v>
      </c>
      <c r="G15" s="190"/>
    </row>
    <row r="16" spans="1:7" hidden="1" outlineLevel="1" x14ac:dyDescent="0.25">
      <c r="A16" s="174">
        <v>13</v>
      </c>
      <c r="B16" s="175" t="s">
        <v>263</v>
      </c>
      <c r="C16" s="174">
        <v>80</v>
      </c>
      <c r="D16" s="176">
        <v>13.2</v>
      </c>
      <c r="E16" s="177">
        <f t="shared" si="0"/>
        <v>46.199999999999996</v>
      </c>
      <c r="F16" s="178">
        <f t="shared" si="1"/>
        <v>52.8</v>
      </c>
      <c r="G16" s="190"/>
    </row>
    <row r="17" spans="1:7" hidden="1" outlineLevel="1" x14ac:dyDescent="0.25">
      <c r="A17" s="174">
        <v>14</v>
      </c>
      <c r="B17" s="175" t="s">
        <v>264</v>
      </c>
      <c r="C17" s="174">
        <v>80</v>
      </c>
      <c r="D17" s="176">
        <v>13.23</v>
      </c>
      <c r="E17" s="177">
        <f t="shared" si="0"/>
        <v>46.305</v>
      </c>
      <c r="F17" s="178">
        <f t="shared" si="1"/>
        <v>52.92</v>
      </c>
      <c r="G17" s="190"/>
    </row>
    <row r="18" spans="1:7" hidden="1" outlineLevel="1" x14ac:dyDescent="0.25">
      <c r="A18" s="174">
        <v>15</v>
      </c>
      <c r="B18" s="175" t="s">
        <v>265</v>
      </c>
      <c r="C18" s="174">
        <v>100</v>
      </c>
      <c r="D18" s="176">
        <v>10.09</v>
      </c>
      <c r="E18" s="177">
        <f t="shared" si="0"/>
        <v>35.314999999999998</v>
      </c>
      <c r="F18" s="178">
        <f t="shared" si="1"/>
        <v>40.36</v>
      </c>
      <c r="G18" s="190"/>
    </row>
    <row r="19" spans="1:7" hidden="1" outlineLevel="1" x14ac:dyDescent="0.25">
      <c r="A19" s="174">
        <v>16</v>
      </c>
      <c r="B19" s="175" t="s">
        <v>266</v>
      </c>
      <c r="C19" s="174">
        <v>100</v>
      </c>
      <c r="D19" s="176">
        <v>10.3</v>
      </c>
      <c r="E19" s="177">
        <f t="shared" si="0"/>
        <v>36.050000000000004</v>
      </c>
      <c r="F19" s="178">
        <f t="shared" si="1"/>
        <v>41.2</v>
      </c>
      <c r="G19" s="190"/>
    </row>
    <row r="20" spans="1:7" hidden="1" outlineLevel="1" x14ac:dyDescent="0.25">
      <c r="A20" s="174">
        <v>17</v>
      </c>
      <c r="B20" s="175" t="s">
        <v>267</v>
      </c>
      <c r="C20" s="174">
        <v>100</v>
      </c>
      <c r="D20" s="176">
        <v>16.21</v>
      </c>
      <c r="E20" s="177">
        <f t="shared" si="0"/>
        <v>56.734999999999999</v>
      </c>
      <c r="F20" s="178">
        <f t="shared" si="1"/>
        <v>64.84</v>
      </c>
      <c r="G20" s="190"/>
    </row>
    <row r="21" spans="1:7" hidden="1" outlineLevel="1" x14ac:dyDescent="0.25">
      <c r="A21" s="174">
        <v>18</v>
      </c>
      <c r="B21" s="175" t="s">
        <v>268</v>
      </c>
      <c r="C21" s="174">
        <v>100</v>
      </c>
      <c r="D21" s="176">
        <v>13.44</v>
      </c>
      <c r="E21" s="177">
        <f t="shared" si="0"/>
        <v>47.04</v>
      </c>
      <c r="F21" s="178">
        <f t="shared" si="1"/>
        <v>53.76</v>
      </c>
      <c r="G21" s="190"/>
    </row>
    <row r="22" spans="1:7" hidden="1" outlineLevel="1" x14ac:dyDescent="0.25">
      <c r="A22" s="174">
        <v>19</v>
      </c>
      <c r="B22" s="175" t="s">
        <v>269</v>
      </c>
      <c r="C22" s="174">
        <v>105</v>
      </c>
      <c r="D22" s="176">
        <v>13.27</v>
      </c>
      <c r="E22" s="177">
        <f t="shared" si="0"/>
        <v>46.445</v>
      </c>
      <c r="F22" s="178">
        <f t="shared" si="1"/>
        <v>53.08</v>
      </c>
      <c r="G22" s="190"/>
    </row>
    <row r="23" spans="1:7" hidden="1" outlineLevel="1" x14ac:dyDescent="0.25">
      <c r="A23" s="174">
        <v>20</v>
      </c>
      <c r="B23" s="175" t="s">
        <v>270</v>
      </c>
      <c r="C23" s="174">
        <v>120</v>
      </c>
      <c r="D23" s="176">
        <v>15.55</v>
      </c>
      <c r="E23" s="177">
        <f t="shared" si="0"/>
        <v>54.425000000000004</v>
      </c>
      <c r="F23" s="178">
        <f t="shared" si="1"/>
        <v>62.2</v>
      </c>
      <c r="G23" s="190"/>
    </row>
    <row r="24" spans="1:7" collapsed="1" x14ac:dyDescent="0.25">
      <c r="A24" s="186"/>
      <c r="B24" s="187" t="s">
        <v>271</v>
      </c>
      <c r="C24" s="186"/>
      <c r="D24" s="188">
        <f>MEDIAN(D25:D34)</f>
        <v>9.11</v>
      </c>
      <c r="E24" s="188">
        <f t="shared" ref="E24:F24" si="3">MEDIAN(E25:E34)</f>
        <v>31.885000000000002</v>
      </c>
      <c r="F24" s="188">
        <f t="shared" si="3"/>
        <v>36.44</v>
      </c>
      <c r="G24" s="190">
        <v>0.2</v>
      </c>
    </row>
    <row r="25" spans="1:7" hidden="1" outlineLevel="1" x14ac:dyDescent="0.25">
      <c r="A25" s="174">
        <v>21</v>
      </c>
      <c r="B25" s="175" t="s">
        <v>272</v>
      </c>
      <c r="C25" s="174">
        <v>80</v>
      </c>
      <c r="D25" s="176">
        <v>11.98</v>
      </c>
      <c r="E25" s="177">
        <f t="shared" si="0"/>
        <v>41.93</v>
      </c>
      <c r="F25" s="178">
        <f t="shared" si="1"/>
        <v>47.92</v>
      </c>
      <c r="G25" s="190"/>
    </row>
    <row r="26" spans="1:7" hidden="1" outlineLevel="1" x14ac:dyDescent="0.25">
      <c r="A26" s="174">
        <v>22</v>
      </c>
      <c r="B26" s="175" t="s">
        <v>273</v>
      </c>
      <c r="C26" s="174">
        <v>80</v>
      </c>
      <c r="D26" s="176">
        <v>10.78</v>
      </c>
      <c r="E26" s="177">
        <f t="shared" si="0"/>
        <v>37.729999999999997</v>
      </c>
      <c r="F26" s="178">
        <f t="shared" si="1"/>
        <v>43.12</v>
      </c>
      <c r="G26" s="190"/>
    </row>
    <row r="27" spans="1:7" hidden="1" outlineLevel="1" x14ac:dyDescent="0.25">
      <c r="A27" s="174">
        <v>23</v>
      </c>
      <c r="B27" s="175" t="s">
        <v>274</v>
      </c>
      <c r="C27" s="174">
        <v>80</v>
      </c>
      <c r="D27" s="176">
        <v>9.56</v>
      </c>
      <c r="E27" s="177">
        <f t="shared" si="0"/>
        <v>33.46</v>
      </c>
      <c r="F27" s="178">
        <f t="shared" si="1"/>
        <v>38.24</v>
      </c>
      <c r="G27" s="190"/>
    </row>
    <row r="28" spans="1:7" hidden="1" outlineLevel="1" x14ac:dyDescent="0.25">
      <c r="A28" s="174">
        <v>24</v>
      </c>
      <c r="B28" s="175" t="s">
        <v>275</v>
      </c>
      <c r="C28" s="174">
        <v>80</v>
      </c>
      <c r="D28" s="176">
        <v>10.06</v>
      </c>
      <c r="E28" s="177">
        <f t="shared" si="0"/>
        <v>35.21</v>
      </c>
      <c r="F28" s="178">
        <f t="shared" si="1"/>
        <v>40.24</v>
      </c>
      <c r="G28" s="190"/>
    </row>
    <row r="29" spans="1:7" hidden="1" outlineLevel="1" x14ac:dyDescent="0.25">
      <c r="A29" s="174">
        <v>25</v>
      </c>
      <c r="B29" s="175" t="s">
        <v>276</v>
      </c>
      <c r="C29" s="174">
        <v>80</v>
      </c>
      <c r="D29" s="176">
        <v>14.83</v>
      </c>
      <c r="E29" s="177">
        <f t="shared" si="0"/>
        <v>51.905000000000001</v>
      </c>
      <c r="F29" s="178">
        <f t="shared" si="1"/>
        <v>59.32</v>
      </c>
      <c r="G29" s="190"/>
    </row>
    <row r="30" spans="1:7" hidden="1" outlineLevel="1" x14ac:dyDescent="0.25">
      <c r="A30" s="174">
        <v>26</v>
      </c>
      <c r="B30" s="175" t="s">
        <v>277</v>
      </c>
      <c r="C30" s="174">
        <v>80</v>
      </c>
      <c r="D30" s="176">
        <v>5.0999999999999996</v>
      </c>
      <c r="E30" s="177">
        <f t="shared" si="0"/>
        <v>17.849999999999998</v>
      </c>
      <c r="F30" s="178">
        <f t="shared" si="1"/>
        <v>20.399999999999999</v>
      </c>
      <c r="G30" s="190"/>
    </row>
    <row r="31" spans="1:7" hidden="1" outlineLevel="1" x14ac:dyDescent="0.25">
      <c r="A31" s="174">
        <v>27</v>
      </c>
      <c r="B31" s="175" t="s">
        <v>278</v>
      </c>
      <c r="C31" s="174">
        <v>80</v>
      </c>
      <c r="D31" s="176">
        <v>7.42</v>
      </c>
      <c r="E31" s="177">
        <f t="shared" si="0"/>
        <v>25.97</v>
      </c>
      <c r="F31" s="178">
        <f t="shared" si="1"/>
        <v>29.68</v>
      </c>
      <c r="G31" s="190"/>
    </row>
    <row r="32" spans="1:7" hidden="1" outlineLevel="1" x14ac:dyDescent="0.25">
      <c r="A32" s="174">
        <v>28</v>
      </c>
      <c r="B32" s="175" t="s">
        <v>279</v>
      </c>
      <c r="C32" s="174">
        <v>80</v>
      </c>
      <c r="D32" s="176">
        <v>5.72</v>
      </c>
      <c r="E32" s="177">
        <f t="shared" si="0"/>
        <v>20.02</v>
      </c>
      <c r="F32" s="178">
        <f t="shared" si="1"/>
        <v>22.88</v>
      </c>
      <c r="G32" s="190"/>
    </row>
    <row r="33" spans="1:7" hidden="1" outlineLevel="1" x14ac:dyDescent="0.25">
      <c r="A33" s="174">
        <v>29</v>
      </c>
      <c r="B33" s="175" t="s">
        <v>280</v>
      </c>
      <c r="C33" s="174">
        <v>100</v>
      </c>
      <c r="D33" s="176">
        <v>8.26</v>
      </c>
      <c r="E33" s="177">
        <f t="shared" si="0"/>
        <v>28.91</v>
      </c>
      <c r="F33" s="178">
        <f t="shared" si="1"/>
        <v>33.04</v>
      </c>
      <c r="G33" s="190"/>
    </row>
    <row r="34" spans="1:7" hidden="1" outlineLevel="1" x14ac:dyDescent="0.25">
      <c r="A34" s="174">
        <v>30</v>
      </c>
      <c r="B34" s="175" t="s">
        <v>281</v>
      </c>
      <c r="C34" s="174">
        <v>100</v>
      </c>
      <c r="D34" s="176">
        <v>8.66</v>
      </c>
      <c r="E34" s="177">
        <f t="shared" si="0"/>
        <v>30.310000000000002</v>
      </c>
      <c r="F34" s="178">
        <f t="shared" si="1"/>
        <v>34.64</v>
      </c>
      <c r="G34" s="190"/>
    </row>
    <row r="35" spans="1:7" collapsed="1" x14ac:dyDescent="0.25">
      <c r="A35" s="183"/>
      <c r="B35" s="184" t="s">
        <v>282</v>
      </c>
      <c r="C35" s="183"/>
      <c r="D35" s="185">
        <f>MEDIAN(D36:D45)</f>
        <v>16.125</v>
      </c>
      <c r="E35" s="185">
        <f t="shared" ref="E35:F35" si="4">MEDIAN(E36:E45)</f>
        <v>56.4375</v>
      </c>
      <c r="F35" s="185">
        <f t="shared" si="4"/>
        <v>64.5</v>
      </c>
      <c r="G35" s="190">
        <v>0.25</v>
      </c>
    </row>
    <row r="36" spans="1:7" hidden="1" outlineLevel="1" x14ac:dyDescent="0.25">
      <c r="A36" s="174">
        <v>31</v>
      </c>
      <c r="B36" s="175" t="s">
        <v>283</v>
      </c>
      <c r="C36" s="174">
        <v>100</v>
      </c>
      <c r="D36" s="176">
        <v>6.25</v>
      </c>
      <c r="E36" s="177">
        <f t="shared" si="0"/>
        <v>21.875</v>
      </c>
      <c r="F36" s="178">
        <f t="shared" si="1"/>
        <v>25</v>
      </c>
    </row>
    <row r="37" spans="1:7" hidden="1" outlineLevel="1" x14ac:dyDescent="0.25">
      <c r="A37" s="174">
        <v>32</v>
      </c>
      <c r="B37" s="175" t="s">
        <v>284</v>
      </c>
      <c r="C37" s="174">
        <v>40</v>
      </c>
      <c r="D37" s="176">
        <v>15.77</v>
      </c>
      <c r="E37" s="177">
        <f t="shared" si="0"/>
        <v>55.195</v>
      </c>
      <c r="F37" s="178">
        <f t="shared" si="1"/>
        <v>63.08</v>
      </c>
    </row>
    <row r="38" spans="1:7" hidden="1" outlineLevel="1" x14ac:dyDescent="0.25">
      <c r="A38" s="174">
        <v>34</v>
      </c>
      <c r="B38" s="175" t="s">
        <v>285</v>
      </c>
      <c r="C38" s="174">
        <v>100</v>
      </c>
      <c r="D38" s="176">
        <v>29.51</v>
      </c>
      <c r="E38" s="177">
        <f t="shared" si="0"/>
        <v>103.28500000000001</v>
      </c>
      <c r="F38" s="178">
        <f t="shared" si="1"/>
        <v>118.04</v>
      </c>
    </row>
    <row r="39" spans="1:7" hidden="1" outlineLevel="1" x14ac:dyDescent="0.25">
      <c r="A39" s="174">
        <v>35</v>
      </c>
      <c r="B39" s="175" t="s">
        <v>286</v>
      </c>
      <c r="C39" s="174">
        <v>50</v>
      </c>
      <c r="D39" s="176">
        <v>8.7899999999999991</v>
      </c>
      <c r="E39" s="177">
        <f t="shared" si="0"/>
        <v>30.764999999999997</v>
      </c>
      <c r="F39" s="178">
        <f t="shared" si="1"/>
        <v>35.159999999999997</v>
      </c>
    </row>
    <row r="40" spans="1:7" hidden="1" outlineLevel="1" x14ac:dyDescent="0.25">
      <c r="A40" s="174">
        <v>36</v>
      </c>
      <c r="B40" s="175" t="s">
        <v>287</v>
      </c>
      <c r="C40" s="174">
        <v>120</v>
      </c>
      <c r="D40" s="176">
        <v>7.2</v>
      </c>
      <c r="E40" s="177">
        <f t="shared" si="0"/>
        <v>25.2</v>
      </c>
      <c r="F40" s="178">
        <f t="shared" si="1"/>
        <v>28.8</v>
      </c>
    </row>
    <row r="41" spans="1:7" hidden="1" outlineLevel="1" x14ac:dyDescent="0.25">
      <c r="A41" s="174">
        <v>37</v>
      </c>
      <c r="B41" s="175" t="s">
        <v>288</v>
      </c>
      <c r="C41" s="174">
        <v>120</v>
      </c>
      <c r="D41" s="176">
        <v>9.64</v>
      </c>
      <c r="E41" s="177">
        <f t="shared" si="0"/>
        <v>33.74</v>
      </c>
      <c r="F41" s="178">
        <f t="shared" si="1"/>
        <v>38.56</v>
      </c>
    </row>
    <row r="42" spans="1:7" hidden="1" outlineLevel="1" x14ac:dyDescent="0.25">
      <c r="A42" s="174">
        <v>38</v>
      </c>
      <c r="B42" s="175" t="s">
        <v>289</v>
      </c>
      <c r="C42" s="174">
        <v>80</v>
      </c>
      <c r="D42" s="176">
        <v>16.48</v>
      </c>
      <c r="E42" s="177">
        <f t="shared" si="0"/>
        <v>57.68</v>
      </c>
      <c r="F42" s="178">
        <f t="shared" si="1"/>
        <v>65.92</v>
      </c>
    </row>
    <row r="43" spans="1:7" hidden="1" outlineLevel="1" x14ac:dyDescent="0.25">
      <c r="A43" s="174">
        <v>39</v>
      </c>
      <c r="B43" s="175" t="s">
        <v>290</v>
      </c>
      <c r="C43" s="174">
        <v>80</v>
      </c>
      <c r="D43" s="176">
        <v>16.48</v>
      </c>
      <c r="E43" s="177">
        <f t="shared" si="0"/>
        <v>57.68</v>
      </c>
      <c r="F43" s="178">
        <f t="shared" si="1"/>
        <v>65.92</v>
      </c>
    </row>
    <row r="44" spans="1:7" hidden="1" outlineLevel="1" x14ac:dyDescent="0.25">
      <c r="A44" s="174">
        <v>40</v>
      </c>
      <c r="B44" s="175" t="s">
        <v>291</v>
      </c>
      <c r="C44" s="174">
        <v>80</v>
      </c>
      <c r="D44" s="176">
        <v>16.48</v>
      </c>
      <c r="E44" s="177">
        <f t="shared" si="0"/>
        <v>57.68</v>
      </c>
      <c r="F44" s="178">
        <f t="shared" si="1"/>
        <v>65.92</v>
      </c>
    </row>
    <row r="45" spans="1:7" hidden="1" outlineLevel="1" x14ac:dyDescent="0.25">
      <c r="A45" s="174">
        <v>41</v>
      </c>
      <c r="B45" s="175" t="s">
        <v>292</v>
      </c>
      <c r="C45" s="174">
        <v>70</v>
      </c>
      <c r="D45" s="176">
        <v>21.57</v>
      </c>
      <c r="E45" s="177">
        <f t="shared" si="0"/>
        <v>75.495000000000005</v>
      </c>
      <c r="F45" s="178">
        <f t="shared" si="1"/>
        <v>86.28</v>
      </c>
    </row>
    <row r="46" spans="1:7" collapsed="1" x14ac:dyDescent="0.25">
      <c r="A46" s="173"/>
      <c r="B46" s="173"/>
      <c r="C46" s="173"/>
      <c r="D46" s="180"/>
      <c r="E46" s="173"/>
      <c r="F46" s="173"/>
    </row>
    <row r="56" spans="1:18" ht="15.75" thickBot="1" x14ac:dyDescent="0.3"/>
    <row r="57" spans="1:18" ht="60.75" thickBot="1" x14ac:dyDescent="0.3">
      <c r="A57" s="195" t="s">
        <v>244</v>
      </c>
      <c r="B57" s="195" t="s">
        <v>29</v>
      </c>
      <c r="C57" s="193" t="s">
        <v>246</v>
      </c>
      <c r="D57" s="193" t="s">
        <v>247</v>
      </c>
      <c r="E57" s="193" t="s">
        <v>248</v>
      </c>
      <c r="F57" s="194" t="s">
        <v>293</v>
      </c>
      <c r="G57" s="192" t="s">
        <v>294</v>
      </c>
      <c r="H57" s="192" t="s">
        <v>295</v>
      </c>
      <c r="I57" s="196" t="s">
        <v>297</v>
      </c>
      <c r="J57" s="196" t="s">
        <v>298</v>
      </c>
      <c r="K57" s="196" t="s">
        <v>299</v>
      </c>
      <c r="L57" s="196" t="s">
        <v>300</v>
      </c>
      <c r="M57" s="192" t="s">
        <v>301</v>
      </c>
      <c r="N57" s="192" t="s">
        <v>302</v>
      </c>
      <c r="O57" s="203" t="s">
        <v>305</v>
      </c>
      <c r="P57" s="203" t="s">
        <v>306</v>
      </c>
      <c r="Q57" s="196" t="s">
        <v>303</v>
      </c>
      <c r="R57" s="196" t="s">
        <v>304</v>
      </c>
    </row>
    <row r="58" spans="1:18" x14ac:dyDescent="0.25">
      <c r="A58" s="181"/>
      <c r="B58" s="182" t="s">
        <v>296</v>
      </c>
      <c r="C58" s="199">
        <f t="shared" ref="C58:E58" si="5">SUMPRODUCT(C$59:C$62,$F$59:$F$62)</f>
        <v>13.474</v>
      </c>
      <c r="D58" s="199">
        <f t="shared" si="5"/>
        <v>47.158999999999999</v>
      </c>
      <c r="E58" s="199">
        <f t="shared" si="5"/>
        <v>53.896000000000001</v>
      </c>
      <c r="F58" s="200">
        <f>SUM(F59:F62)</f>
        <v>1</v>
      </c>
      <c r="G58" s="201">
        <f>SUMPRODUCT(G$59:G$62,$F$59:$F$62)</f>
        <v>33.685000000000002</v>
      </c>
      <c r="H58" s="201">
        <f>SUMPRODUCT(H$59:H$62,$F$59:$F$62)</f>
        <v>40.421999999999997</v>
      </c>
      <c r="I58" s="202">
        <f>G58/C58</f>
        <v>2.5</v>
      </c>
      <c r="J58" s="202">
        <f>H58/D58</f>
        <v>0.8571428571428571</v>
      </c>
      <c r="K58" s="202">
        <f>G58/D58</f>
        <v>0.7142857142857143</v>
      </c>
      <c r="L58" s="202">
        <f>H58/E58</f>
        <v>0.74999999999999989</v>
      </c>
      <c r="M58" s="202">
        <f t="shared" ref="M58:N58" si="6">I58/F58</f>
        <v>2.5</v>
      </c>
      <c r="N58" s="202">
        <f t="shared" si="6"/>
        <v>2.5445832184736738E-2</v>
      </c>
      <c r="O58" s="201">
        <f t="shared" ref="O58:R58" si="7">SUMPRODUCT(O$59:O$62,$F$59:$F$62)</f>
        <v>20.210999999999999</v>
      </c>
      <c r="P58" s="201">
        <f t="shared" si="7"/>
        <v>24.2532</v>
      </c>
      <c r="Q58" s="202">
        <f t="shared" si="7"/>
        <v>0.33333333333333326</v>
      </c>
      <c r="R58" s="202">
        <f t="shared" si="7"/>
        <v>0.44444444444444448</v>
      </c>
    </row>
    <row r="59" spans="1:18" x14ac:dyDescent="0.25">
      <c r="A59" s="186"/>
      <c r="B59" s="187" t="s">
        <v>249</v>
      </c>
      <c r="C59">
        <f>SUMIFS($D$1:$D$56,$B$1:$B$56,$B59)</f>
        <v>15.565</v>
      </c>
      <c r="D59">
        <f>SUMIFS($E$1:$E$56,$B$1:$B$56,$B59)</f>
        <v>54.477499999999999</v>
      </c>
      <c r="E59">
        <f>SUMIFS($F$1:$F$56,$B$1:$B$56,$B59)</f>
        <v>62.26</v>
      </c>
      <c r="F59" s="191">
        <v>0.15</v>
      </c>
      <c r="G59">
        <f>D59-C59</f>
        <v>38.912500000000001</v>
      </c>
      <c r="H59">
        <f>E59-C59</f>
        <v>46.695</v>
      </c>
      <c r="I59" s="197">
        <f t="shared" ref="I59:I62" si="8">G59/C59</f>
        <v>2.5</v>
      </c>
      <c r="J59" s="197">
        <f t="shared" ref="J59:J62" si="9">H59/D59</f>
        <v>0.85714285714285721</v>
      </c>
      <c r="K59" s="197">
        <f>G59/D59</f>
        <v>0.7142857142857143</v>
      </c>
      <c r="L59" s="197">
        <f>H59/E59</f>
        <v>0.75</v>
      </c>
      <c r="M59" s="191">
        <v>1.5</v>
      </c>
      <c r="N59" s="191">
        <v>1.8</v>
      </c>
      <c r="O59">
        <f>M59*C59</f>
        <v>23.3475</v>
      </c>
      <c r="P59">
        <f>C59*N59</f>
        <v>28.016999999999999</v>
      </c>
      <c r="Q59" s="197">
        <f>(O59-C59)/O59</f>
        <v>0.33333333333333337</v>
      </c>
      <c r="R59" s="197">
        <f>(P59-C59)/P59</f>
        <v>0.44444444444444448</v>
      </c>
    </row>
    <row r="60" spans="1:18" x14ac:dyDescent="0.25">
      <c r="A60" s="186"/>
      <c r="B60" s="187" t="s">
        <v>260</v>
      </c>
      <c r="C60">
        <f>SUMIFS($D$1:$D$56,$B$1:$B$56,$B60)</f>
        <v>13.215</v>
      </c>
      <c r="D60">
        <f>SUMIFS($E$1:$E$56,$B$1:$B$56,$B60)</f>
        <v>46.252499999999998</v>
      </c>
      <c r="E60">
        <f>SUMIFS($F$1:$F$56,$B$1:$B$56,$B60)</f>
        <v>52.86</v>
      </c>
      <c r="F60" s="191">
        <v>0.4</v>
      </c>
      <c r="G60">
        <f t="shared" ref="G60:G62" si="10">D60-C60</f>
        <v>33.037499999999994</v>
      </c>
      <c r="H60">
        <f t="shared" ref="H60:H62" si="11">E60-C60</f>
        <v>39.644999999999996</v>
      </c>
      <c r="I60" s="197">
        <f t="shared" si="8"/>
        <v>2.4999999999999996</v>
      </c>
      <c r="J60" s="197">
        <f t="shared" si="9"/>
        <v>0.8571428571428571</v>
      </c>
      <c r="K60" s="197">
        <f t="shared" ref="K60:K62" si="12">G60/D60</f>
        <v>0.71428571428571419</v>
      </c>
      <c r="L60" s="197">
        <f t="shared" ref="L60:L62" si="13">H60/E60</f>
        <v>0.74999999999999989</v>
      </c>
      <c r="M60" s="191">
        <v>1.5</v>
      </c>
      <c r="N60" s="191">
        <v>1.8</v>
      </c>
      <c r="O60">
        <f t="shared" ref="O60:O62" si="14">M60*C60</f>
        <v>19.822499999999998</v>
      </c>
      <c r="P60">
        <f t="shared" ref="P60:P62" si="15">C60*N60</f>
        <v>23.786999999999999</v>
      </c>
      <c r="Q60" s="197">
        <f t="shared" ref="Q60:Q62" si="16">(O60-C60)/O60</f>
        <v>0.33333333333333326</v>
      </c>
      <c r="R60" s="197">
        <f t="shared" ref="R60:R62" si="17">(P60-C60)/P60</f>
        <v>0.44444444444444442</v>
      </c>
    </row>
    <row r="61" spans="1:18" x14ac:dyDescent="0.25">
      <c r="A61" s="186"/>
      <c r="B61" s="187" t="s">
        <v>271</v>
      </c>
      <c r="C61">
        <f>SUMIFS($D$1:$D$56,$B$1:$B$56,$B61)</f>
        <v>9.11</v>
      </c>
      <c r="D61">
        <f>SUMIFS($E$1:$E$56,$B$1:$B$56,$B61)</f>
        <v>31.885000000000002</v>
      </c>
      <c r="E61">
        <f>SUMIFS($F$1:$F$56,$B$1:$B$56,$B61)</f>
        <v>36.44</v>
      </c>
      <c r="F61" s="191">
        <v>0.2</v>
      </c>
      <c r="G61">
        <f t="shared" si="10"/>
        <v>22.775000000000002</v>
      </c>
      <c r="H61">
        <f t="shared" si="11"/>
        <v>27.33</v>
      </c>
      <c r="I61" s="197">
        <f t="shared" si="8"/>
        <v>2.5000000000000004</v>
      </c>
      <c r="J61" s="197">
        <f t="shared" si="9"/>
        <v>0.8571428571428571</v>
      </c>
      <c r="K61" s="197">
        <f t="shared" si="12"/>
        <v>0.7142857142857143</v>
      </c>
      <c r="L61" s="197">
        <f t="shared" si="13"/>
        <v>0.75</v>
      </c>
      <c r="M61" s="191">
        <v>1.5</v>
      </c>
      <c r="N61" s="191">
        <v>1.8</v>
      </c>
      <c r="O61">
        <f t="shared" si="14"/>
        <v>13.664999999999999</v>
      </c>
      <c r="P61">
        <f t="shared" si="15"/>
        <v>16.398</v>
      </c>
      <c r="Q61" s="197">
        <f t="shared" si="16"/>
        <v>0.33333333333333331</v>
      </c>
      <c r="R61" s="197">
        <f t="shared" si="17"/>
        <v>0.44444444444444448</v>
      </c>
    </row>
    <row r="62" spans="1:18" x14ac:dyDescent="0.25">
      <c r="A62" s="183"/>
      <c r="B62" s="184" t="s">
        <v>282</v>
      </c>
      <c r="C62">
        <f>SUMIFS($D$1:$D$56,$B$1:$B$56,$B62)</f>
        <v>16.125</v>
      </c>
      <c r="D62">
        <f>SUMIFS($E$1:$E$56,$B$1:$B$56,$B62)</f>
        <v>56.4375</v>
      </c>
      <c r="E62">
        <f>SUMIFS($F$1:$F$56,$B$1:$B$56,$B62)</f>
        <v>64.5</v>
      </c>
      <c r="F62" s="191">
        <v>0.25</v>
      </c>
      <c r="G62">
        <f t="shared" si="10"/>
        <v>40.3125</v>
      </c>
      <c r="H62">
        <f t="shared" si="11"/>
        <v>48.375</v>
      </c>
      <c r="I62" s="197">
        <f t="shared" si="8"/>
        <v>2.5</v>
      </c>
      <c r="J62" s="197">
        <f t="shared" si="9"/>
        <v>0.8571428571428571</v>
      </c>
      <c r="K62" s="197">
        <f t="shared" si="12"/>
        <v>0.7142857142857143</v>
      </c>
      <c r="L62" s="197">
        <f t="shared" si="13"/>
        <v>0.75</v>
      </c>
      <c r="M62" s="191">
        <v>1.5</v>
      </c>
      <c r="N62" s="191">
        <v>1.8</v>
      </c>
      <c r="O62">
        <f t="shared" si="14"/>
        <v>24.1875</v>
      </c>
      <c r="P62">
        <f t="shared" si="15"/>
        <v>29.025000000000002</v>
      </c>
      <c r="Q62" s="197">
        <f t="shared" si="16"/>
        <v>0.33333333333333331</v>
      </c>
      <c r="R62" s="197">
        <f t="shared" si="17"/>
        <v>0.44444444444444448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37CC7-D8CE-4282-BED2-B97484839467}">
  <dimension ref="A1:M62"/>
  <sheetViews>
    <sheetView workbookViewId="0">
      <selection activeCell="O60" sqref="O60"/>
    </sheetView>
  </sheetViews>
  <sheetFormatPr defaultRowHeight="15" x14ac:dyDescent="0.25"/>
  <cols>
    <col min="1" max="1" width="17.42578125" customWidth="1"/>
    <col min="4" max="4" width="9.85546875" bestFit="1" customWidth="1"/>
    <col min="5" max="5" width="11.28515625" style="165" bestFit="1" customWidth="1"/>
    <col min="6" max="6" width="14.7109375" customWidth="1"/>
    <col min="7" max="7" width="15.7109375" customWidth="1"/>
    <col min="8" max="8" width="15" customWidth="1"/>
    <col min="9" max="9" width="27.42578125" customWidth="1"/>
    <col min="11" max="11" width="11.42578125" customWidth="1"/>
    <col min="12" max="12" width="10.28515625" bestFit="1" customWidth="1"/>
  </cols>
  <sheetData>
    <row r="1" spans="1:13" ht="31.5" thickTop="1" thickBot="1" x14ac:dyDescent="0.3">
      <c r="A1" s="154" t="s">
        <v>45</v>
      </c>
      <c r="B1" s="154" t="s">
        <v>7</v>
      </c>
      <c r="C1" s="154" t="s">
        <v>46</v>
      </c>
      <c r="D1" s="167" t="s">
        <v>47</v>
      </c>
      <c r="E1" s="169" t="s">
        <v>85</v>
      </c>
      <c r="F1" s="166" t="s">
        <v>236</v>
      </c>
      <c r="G1" s="166" t="s">
        <v>238</v>
      </c>
      <c r="H1" s="166" t="s">
        <v>239</v>
      </c>
      <c r="I1" s="166" t="s">
        <v>240</v>
      </c>
      <c r="J1" s="198" t="str">
        <f>Настройки!$I$15</f>
        <v>% маржи (макс)</v>
      </c>
      <c r="K1" s="198" t="str">
        <f>Настройки!$I$16</f>
        <v>% маржи опт (мин)</v>
      </c>
      <c r="L1" s="166" t="s">
        <v>377</v>
      </c>
      <c r="M1" s="166" t="s">
        <v>378</v>
      </c>
    </row>
    <row r="2" spans="1:13" ht="15.75" thickTop="1" x14ac:dyDescent="0.25">
      <c r="A2" s="67">
        <v>0</v>
      </c>
      <c r="B2" s="67">
        <f>Настройки!$I$9</f>
        <v>2</v>
      </c>
      <c r="C2" s="67">
        <f t="shared" ref="C2:C33" si="0">YEAR(D2)</f>
        <v>2018</v>
      </c>
      <c r="D2" s="168">
        <f>EOMONTH(Настройки!$I$7,$A2)</f>
        <v>43159</v>
      </c>
      <c r="E2" s="170">
        <f>SUM(F2:I2)</f>
        <v>0</v>
      </c>
      <c r="F2" s="165">
        <f>SUMIFS(Вх.Данные.Доход!$E:$E,Вх.Данные.Доход!$F:$F,"&lt;="&amp;$A2,Вх.Данные.Доход!$G:$G,"&gt;"&amp;$A2,Вх.Данные.Доход!$A:$A,РазбивкаДохода!F$1)</f>
        <v>0</v>
      </c>
      <c r="G2" s="165">
        <f>SUMIFS(Вх.Данные.Доход!$E:$E,Вх.Данные.Доход!$F:$F,"&lt;="&amp;$A2,Вх.Данные.Доход!$G:$G,"&gt;"&amp;$A2,Вх.Данные.Доход!$A:$A,РазбивкаДохода!G$1)</f>
        <v>0</v>
      </c>
      <c r="H2" s="165">
        <f>SUMIFS(Вх.Данные.Доход!$E:$E,Вх.Данные.Доход!$F:$F,"&lt;="&amp;$A2,Вх.Данные.Доход!$G:$G,"&gt;"&amp;$A2,Вх.Данные.Доход!$A:$A,РазбивкаДохода!H$1)</f>
        <v>0</v>
      </c>
      <c r="I2" s="165">
        <f>SUMIFS(Вх.Данные.Доход!$E:$E,Вх.Данные.Доход!$F:$F,"&lt;="&amp;$A2,Вх.Данные.Доход!$G:$G,"&gt;"&amp;$A2,Вх.Данные.Доход!$A:$A,РазбивкаДохода!I$1)</f>
        <v>0</v>
      </c>
      <c r="J2" s="204">
        <f>INDEX(Вх.Данные.Ассортимент!$K$57:$L$58,2,MATCH($J$1,Вх.Данные.Ассортимент!$K$57:$L$57,0))</f>
        <v>0.74999999999999989</v>
      </c>
      <c r="K2" s="205">
        <f>INDEX(Вх.Данные.Ассортимент!$Q$57:$R$58,2,MATCH($K$1,Вх.Данные.Ассортимент!$Q$57:$R$57,0))</f>
        <v>0.33333333333333326</v>
      </c>
      <c r="L2">
        <f>INDEX(Вх.Данные.Ассортимент!$D$57:$E$58,2,MATCH($J$1,Вх.Данные.Ассортимент!$K$57:$L$57,0))</f>
        <v>53.896000000000001</v>
      </c>
      <c r="M2">
        <f>INDEX(Вх.Данные.Ассортимент!$O$57:$P$58,2,MATCH($K$1,Вх.Данные.Ассортимент!$Q$57:$R$57,0))</f>
        <v>20.210999999999999</v>
      </c>
    </row>
    <row r="3" spans="1:13" x14ac:dyDescent="0.25">
      <c r="A3" s="67">
        <f t="shared" ref="A3:B6" si="1">A2+1</f>
        <v>1</v>
      </c>
      <c r="B3" s="67">
        <f t="shared" si="1"/>
        <v>3</v>
      </c>
      <c r="C3" s="67">
        <f t="shared" si="0"/>
        <v>2018</v>
      </c>
      <c r="D3" s="168">
        <f>EOMONTH(Настройки!$I$7,$A3)</f>
        <v>43190</v>
      </c>
      <c r="E3" s="170">
        <f t="shared" ref="E3:E62" si="2">SUM(F3:I3)</f>
        <v>1260000</v>
      </c>
      <c r="F3" s="165">
        <f>SUMIFS(Вх.Данные.Доход!$E:$E,Вх.Данные.Доход!$F:$F,"&lt;="&amp;$A3,Вх.Данные.Доход!$G:$G,"&gt;="&amp;$A3,Вх.Данные.Доход!$A:$A,РазбивкаДохода!F$1)</f>
        <v>360000</v>
      </c>
      <c r="G3" s="165">
        <f>SUMIFS(Вх.Данные.Доход!$E:$E,Вх.Данные.Доход!$F:$F,"&lt;="&amp;$A3,Вх.Данные.Доход!$G:$G,"&gt;="&amp;$A3,Вх.Данные.Доход!$A:$A,РазбивкаДохода!G$1)</f>
        <v>900000</v>
      </c>
      <c r="H3" s="165">
        <f>SUMIFS(Вх.Данные.Доход!$E:$E,Вх.Данные.Доход!$F:$F,"&lt;="&amp;$A3,Вх.Данные.Доход!$G:$G,"&gt;="&amp;$A3,Вх.Данные.Доход!$A:$A,РазбивкаДохода!H$1)</f>
        <v>0</v>
      </c>
      <c r="I3" s="165">
        <f>SUMIFS(Вх.Данные.Доход!$E:$E,Вх.Данные.Доход!$F:$F,"&lt;="&amp;$A3,Вх.Данные.Доход!$G:$G,"&gt;="&amp;$A3,Вх.Данные.Доход!$A:$A,РазбивкаДохода!I$1)</f>
        <v>0</v>
      </c>
      <c r="J3" s="204">
        <f>INDEX(Вх.Данные.Ассортимент!$K$57:$L$58,2,MATCH($J$1,Вх.Данные.Ассортимент!$K$57:$L$57,0))</f>
        <v>0.74999999999999989</v>
      </c>
      <c r="K3" s="205">
        <f>INDEX(Вх.Данные.Ассортимент!$Q$57:$R$58,2,MATCH($K$1,Вх.Данные.Ассортимент!$Q$57:$R$57,0))</f>
        <v>0.33333333333333326</v>
      </c>
      <c r="L3">
        <f>INDEX(Вх.Данные.Ассортимент!$D$57:$E$58,2,MATCH($J$1,Вх.Данные.Ассортимент!$K$57:$L$57,0))</f>
        <v>53.896000000000001</v>
      </c>
      <c r="M3">
        <f>INDEX(Вх.Данные.Ассортимент!$O$57:$P$58,2,MATCH($K$1,Вх.Данные.Ассортимент!$Q$57:$R$57,0))</f>
        <v>20.210999999999999</v>
      </c>
    </row>
    <row r="4" spans="1:13" x14ac:dyDescent="0.25">
      <c r="A4" s="67">
        <f t="shared" si="1"/>
        <v>2</v>
      </c>
      <c r="B4" s="67">
        <f t="shared" si="1"/>
        <v>4</v>
      </c>
      <c r="C4" s="67">
        <f t="shared" si="0"/>
        <v>2018</v>
      </c>
      <c r="D4" s="168">
        <f>EOMONTH(Настройки!$I$7,$A4)</f>
        <v>43220</v>
      </c>
      <c r="E4" s="170">
        <f t="shared" si="2"/>
        <v>1670000</v>
      </c>
      <c r="F4" s="165">
        <f>SUMIFS(Вх.Данные.Доход!$E:$E,Вх.Данные.Доход!$F:$F,"&lt;="&amp;$A4,Вх.Данные.Доход!$G:$G,"&gt;="&amp;$A4,Вх.Данные.Доход!$A:$A,РазбивкаДохода!F$1)</f>
        <v>360000</v>
      </c>
      <c r="G4" s="165">
        <f>SUMIFS(Вх.Данные.Доход!$E:$E,Вх.Данные.Доход!$F:$F,"&lt;="&amp;$A4,Вх.Данные.Доход!$G:$G,"&gt;="&amp;$A4,Вх.Данные.Доход!$A:$A,РазбивкаДохода!G$1)</f>
        <v>900000</v>
      </c>
      <c r="H4" s="165">
        <f>SUMIFS(Вх.Данные.Доход!$E:$E,Вх.Данные.Доход!$F:$F,"&lt;="&amp;$A4,Вх.Данные.Доход!$G:$G,"&gt;="&amp;$A4,Вх.Данные.Доход!$A:$A,РазбивкаДохода!H$1)</f>
        <v>110000</v>
      </c>
      <c r="I4" s="165">
        <f>SUMIFS(Вх.Данные.Доход!$E:$E,Вх.Данные.Доход!$F:$F,"&lt;="&amp;$A4,Вх.Данные.Доход!$G:$G,"&gt;="&amp;$A4,Вх.Данные.Доход!$A:$A,РазбивкаДохода!I$1)</f>
        <v>300000</v>
      </c>
      <c r="J4" s="204">
        <f>INDEX(Вх.Данные.Ассортимент!$K$57:$L$58,2,MATCH($J$1,Вх.Данные.Ассортимент!$K$57:$L$57,0))</f>
        <v>0.74999999999999989</v>
      </c>
      <c r="K4" s="205">
        <f>INDEX(Вх.Данные.Ассортимент!$Q$57:$R$58,2,MATCH($K$1,Вх.Данные.Ассортимент!$Q$57:$R$57,0))</f>
        <v>0.33333333333333326</v>
      </c>
      <c r="L4">
        <f>INDEX(Вх.Данные.Ассортимент!$D$57:$E$58,2,MATCH($J$1,Вх.Данные.Ассортимент!$K$57:$L$57,0))</f>
        <v>53.896000000000001</v>
      </c>
      <c r="M4">
        <f>INDEX(Вх.Данные.Ассортимент!$O$57:$P$58,2,MATCH($K$1,Вх.Данные.Ассортимент!$Q$57:$R$57,0))</f>
        <v>20.210999999999999</v>
      </c>
    </row>
    <row r="5" spans="1:13" x14ac:dyDescent="0.25">
      <c r="A5" s="67">
        <f t="shared" si="1"/>
        <v>3</v>
      </c>
      <c r="B5" s="67">
        <f t="shared" si="1"/>
        <v>5</v>
      </c>
      <c r="C5" s="67">
        <f t="shared" si="0"/>
        <v>2018</v>
      </c>
      <c r="D5" s="168">
        <f>EOMONTH(Настройки!$I$7,$A5)</f>
        <v>43251</v>
      </c>
      <c r="E5" s="170">
        <f t="shared" si="2"/>
        <v>1670000</v>
      </c>
      <c r="F5" s="165">
        <f>SUMIFS(Вх.Данные.Доход!$E:$E,Вх.Данные.Доход!$F:$F,"&lt;="&amp;$A5,Вх.Данные.Доход!$G:$G,"&gt;="&amp;$A5,Вх.Данные.Доход!$A:$A,РазбивкаДохода!F$1)</f>
        <v>360000</v>
      </c>
      <c r="G5" s="165">
        <f>SUMIFS(Вх.Данные.Доход!$E:$E,Вх.Данные.Доход!$F:$F,"&lt;="&amp;$A5,Вх.Данные.Доход!$G:$G,"&gt;="&amp;$A5,Вх.Данные.Доход!$A:$A,РазбивкаДохода!G$1)</f>
        <v>900000</v>
      </c>
      <c r="H5" s="165">
        <f>SUMIFS(Вх.Данные.Доход!$E:$E,Вх.Данные.Доход!$F:$F,"&lt;="&amp;$A5,Вх.Данные.Доход!$G:$G,"&gt;="&amp;$A5,Вх.Данные.Доход!$A:$A,РазбивкаДохода!H$1)</f>
        <v>110000</v>
      </c>
      <c r="I5" s="165">
        <f>SUMIFS(Вх.Данные.Доход!$E:$E,Вх.Данные.Доход!$F:$F,"&lt;="&amp;$A5,Вх.Данные.Доход!$G:$G,"&gt;="&amp;$A5,Вх.Данные.Доход!$A:$A,РазбивкаДохода!I$1)</f>
        <v>300000</v>
      </c>
      <c r="J5" s="204">
        <f>INDEX(Вх.Данные.Ассортимент!$K$57:$L$58,2,MATCH($J$1,Вх.Данные.Ассортимент!$K$57:$L$57,0))</f>
        <v>0.74999999999999989</v>
      </c>
      <c r="K5" s="205">
        <f>INDEX(Вх.Данные.Ассортимент!$Q$57:$R$58,2,MATCH($K$1,Вх.Данные.Ассортимент!$Q$57:$R$57,0))</f>
        <v>0.33333333333333326</v>
      </c>
      <c r="L5">
        <f>INDEX(Вх.Данные.Ассортимент!$D$57:$E$58,2,MATCH($J$1,Вх.Данные.Ассортимент!$K$57:$L$57,0))</f>
        <v>53.896000000000001</v>
      </c>
      <c r="M5">
        <f>INDEX(Вх.Данные.Ассортимент!$O$57:$P$58,2,MATCH($K$1,Вх.Данные.Ассортимент!$Q$57:$R$57,0))</f>
        <v>20.210999999999999</v>
      </c>
    </row>
    <row r="6" spans="1:13" x14ac:dyDescent="0.25">
      <c r="A6" s="67">
        <f t="shared" si="1"/>
        <v>4</v>
      </c>
      <c r="B6" s="67">
        <f t="shared" si="1"/>
        <v>6</v>
      </c>
      <c r="C6" s="67">
        <f t="shared" si="0"/>
        <v>2018</v>
      </c>
      <c r="D6" s="168">
        <f>EOMONTH(Настройки!$I$7,$A6)</f>
        <v>43281</v>
      </c>
      <c r="E6" s="170">
        <f t="shared" si="2"/>
        <v>1670000</v>
      </c>
      <c r="F6" s="165">
        <f>SUMIFS(Вх.Данные.Доход!$E:$E,Вх.Данные.Доход!$F:$F,"&lt;="&amp;$A6,Вх.Данные.Доход!$G:$G,"&gt;="&amp;$A6,Вх.Данные.Доход!$A:$A,РазбивкаДохода!F$1)</f>
        <v>360000</v>
      </c>
      <c r="G6" s="165">
        <f>SUMIFS(Вх.Данные.Доход!$E:$E,Вх.Данные.Доход!$F:$F,"&lt;="&amp;$A6,Вх.Данные.Доход!$G:$G,"&gt;="&amp;$A6,Вх.Данные.Доход!$A:$A,РазбивкаДохода!G$1)</f>
        <v>900000</v>
      </c>
      <c r="H6" s="165">
        <f>SUMIFS(Вх.Данные.Доход!$E:$E,Вх.Данные.Доход!$F:$F,"&lt;="&amp;$A6,Вх.Данные.Доход!$G:$G,"&gt;="&amp;$A6,Вх.Данные.Доход!$A:$A,РазбивкаДохода!H$1)</f>
        <v>110000</v>
      </c>
      <c r="I6" s="165">
        <f>SUMIFS(Вх.Данные.Доход!$E:$E,Вх.Данные.Доход!$F:$F,"&lt;="&amp;$A6,Вх.Данные.Доход!$G:$G,"&gt;="&amp;$A6,Вх.Данные.Доход!$A:$A,РазбивкаДохода!I$1)</f>
        <v>300000</v>
      </c>
      <c r="J6" s="204">
        <f>INDEX(Вх.Данные.Ассортимент!$K$57:$L$58,2,MATCH($J$1,Вх.Данные.Ассортимент!$K$57:$L$57,0))</f>
        <v>0.74999999999999989</v>
      </c>
      <c r="K6" s="205">
        <f>INDEX(Вх.Данные.Ассортимент!$Q$57:$R$58,2,MATCH($K$1,Вх.Данные.Ассортимент!$Q$57:$R$57,0))</f>
        <v>0.33333333333333326</v>
      </c>
      <c r="L6">
        <f>INDEX(Вх.Данные.Ассортимент!$D$57:$E$58,2,MATCH($J$1,Вх.Данные.Ассортимент!$K$57:$L$57,0))</f>
        <v>53.896000000000001</v>
      </c>
      <c r="M6">
        <f>INDEX(Вх.Данные.Ассортимент!$O$57:$P$58,2,MATCH($K$1,Вх.Данные.Ассортимент!$Q$57:$R$57,0))</f>
        <v>20.210999999999999</v>
      </c>
    </row>
    <row r="7" spans="1:13" x14ac:dyDescent="0.25">
      <c r="A7" s="67">
        <f t="shared" ref="A7:A38" si="3">A6+1</f>
        <v>5</v>
      </c>
      <c r="B7" s="67">
        <f t="shared" ref="B7:B38" si="4">IF(B6=12,1,B6+1)</f>
        <v>7</v>
      </c>
      <c r="C7" s="67">
        <f t="shared" si="0"/>
        <v>2018</v>
      </c>
      <c r="D7" s="168">
        <f>EOMONTH(Настройки!$I$7,$A7)</f>
        <v>43312</v>
      </c>
      <c r="E7" s="170">
        <f t="shared" si="2"/>
        <v>2680000</v>
      </c>
      <c r="F7" s="165">
        <f>SUMIFS(Вх.Данные.Доход!$E:$E,Вх.Данные.Доход!$F:$F,"&lt;="&amp;$A7,Вх.Данные.Доход!$G:$G,"&gt;="&amp;$A7,Вх.Данные.Доход!$A:$A,РазбивкаДохода!F$1)</f>
        <v>480000</v>
      </c>
      <c r="G7" s="165">
        <f>SUMIFS(Вх.Данные.Доход!$E:$E,Вх.Данные.Доход!$F:$F,"&lt;="&amp;$A7,Вх.Данные.Доход!$G:$G,"&gt;="&amp;$A7,Вх.Данные.Доход!$A:$A,РазбивкаДохода!G$1)</f>
        <v>1050000</v>
      </c>
      <c r="H7" s="165">
        <f>SUMIFS(Вх.Данные.Доход!$E:$E,Вх.Данные.Доход!$F:$F,"&lt;="&amp;$A7,Вх.Данные.Доход!$G:$G,"&gt;="&amp;$A7,Вх.Данные.Доход!$A:$A,РазбивкаДохода!H$1)</f>
        <v>550000</v>
      </c>
      <c r="I7" s="165">
        <f>SUMIFS(Вх.Данные.Доход!$E:$E,Вх.Данные.Доход!$F:$F,"&lt;="&amp;$A7,Вх.Данные.Доход!$G:$G,"&gt;="&amp;$A7,Вх.Данные.Доход!$A:$A,РазбивкаДохода!I$1)</f>
        <v>600000</v>
      </c>
      <c r="J7" s="204">
        <f>INDEX(Вх.Данные.Ассортимент!$K$57:$L$58,2,MATCH($J$1,Вх.Данные.Ассортимент!$K$57:$L$57,0))</f>
        <v>0.74999999999999989</v>
      </c>
      <c r="K7" s="205">
        <f>INDEX(Вх.Данные.Ассортимент!$Q$57:$R$58,2,MATCH($K$1,Вх.Данные.Ассортимент!$Q$57:$R$57,0))</f>
        <v>0.33333333333333326</v>
      </c>
      <c r="L7">
        <f>INDEX(Вх.Данные.Ассортимент!$D$57:$E$58,2,MATCH($J$1,Вх.Данные.Ассортимент!$K$57:$L$57,0))</f>
        <v>53.896000000000001</v>
      </c>
      <c r="M7">
        <f>INDEX(Вх.Данные.Ассортимент!$O$57:$P$58,2,MATCH($K$1,Вх.Данные.Ассортимент!$Q$57:$R$57,0))</f>
        <v>20.210999999999999</v>
      </c>
    </row>
    <row r="8" spans="1:13" x14ac:dyDescent="0.25">
      <c r="A8" s="67">
        <f t="shared" si="3"/>
        <v>6</v>
      </c>
      <c r="B8" s="67">
        <f t="shared" si="4"/>
        <v>8</v>
      </c>
      <c r="C8" s="67">
        <f t="shared" si="0"/>
        <v>2018</v>
      </c>
      <c r="D8" s="168">
        <f>EOMONTH(Настройки!$I$7,$A8)</f>
        <v>43343</v>
      </c>
      <c r="E8" s="170">
        <f t="shared" si="2"/>
        <v>2680000</v>
      </c>
      <c r="F8" s="165">
        <f>SUMIFS(Вх.Данные.Доход!$E:$E,Вх.Данные.Доход!$F:$F,"&lt;="&amp;$A8,Вх.Данные.Доход!$G:$G,"&gt;="&amp;$A8,Вх.Данные.Доход!$A:$A,РазбивкаДохода!F$1)</f>
        <v>480000</v>
      </c>
      <c r="G8" s="165">
        <f>SUMIFS(Вх.Данные.Доход!$E:$E,Вх.Данные.Доход!$F:$F,"&lt;="&amp;$A8,Вх.Данные.Доход!$G:$G,"&gt;="&amp;$A8,Вх.Данные.Доход!$A:$A,РазбивкаДохода!G$1)</f>
        <v>1050000</v>
      </c>
      <c r="H8" s="165">
        <f>SUMIFS(Вх.Данные.Доход!$E:$E,Вх.Данные.Доход!$F:$F,"&lt;="&amp;$A8,Вх.Данные.Доход!$G:$G,"&gt;="&amp;$A8,Вх.Данные.Доход!$A:$A,РазбивкаДохода!H$1)</f>
        <v>550000</v>
      </c>
      <c r="I8" s="165">
        <f>SUMIFS(Вх.Данные.Доход!$E:$E,Вх.Данные.Доход!$F:$F,"&lt;="&amp;$A8,Вх.Данные.Доход!$G:$G,"&gt;="&amp;$A8,Вх.Данные.Доход!$A:$A,РазбивкаДохода!I$1)</f>
        <v>600000</v>
      </c>
      <c r="J8" s="204">
        <f>INDEX(Вх.Данные.Ассортимент!$K$57:$L$58,2,MATCH($J$1,Вх.Данные.Ассортимент!$K$57:$L$57,0))</f>
        <v>0.74999999999999989</v>
      </c>
      <c r="K8" s="205">
        <f>INDEX(Вх.Данные.Ассортимент!$Q$57:$R$58,2,MATCH($K$1,Вх.Данные.Ассортимент!$Q$57:$R$57,0))</f>
        <v>0.33333333333333326</v>
      </c>
      <c r="L8">
        <f>INDEX(Вх.Данные.Ассортимент!$D$57:$E$58,2,MATCH($J$1,Вх.Данные.Ассортимент!$K$57:$L$57,0))</f>
        <v>53.896000000000001</v>
      </c>
      <c r="M8">
        <f>INDEX(Вх.Данные.Ассортимент!$O$57:$P$58,2,MATCH($K$1,Вх.Данные.Ассортимент!$Q$57:$R$57,0))</f>
        <v>20.210999999999999</v>
      </c>
    </row>
    <row r="9" spans="1:13" x14ac:dyDescent="0.25">
      <c r="A9" s="67">
        <f t="shared" si="3"/>
        <v>7</v>
      </c>
      <c r="B9" s="67">
        <f t="shared" si="4"/>
        <v>9</v>
      </c>
      <c r="C9" s="67">
        <f t="shared" si="0"/>
        <v>2018</v>
      </c>
      <c r="D9" s="168">
        <f>EOMONTH(Настройки!$I$7,$A9)</f>
        <v>43373</v>
      </c>
      <c r="E9" s="170">
        <f t="shared" si="2"/>
        <v>2680000</v>
      </c>
      <c r="F9" s="165">
        <f>SUMIFS(Вх.Данные.Доход!$E:$E,Вх.Данные.Доход!$F:$F,"&lt;="&amp;$A9,Вх.Данные.Доход!$G:$G,"&gt;="&amp;$A9,Вх.Данные.Доход!$A:$A,РазбивкаДохода!F$1)</f>
        <v>480000</v>
      </c>
      <c r="G9" s="165">
        <f>SUMIFS(Вх.Данные.Доход!$E:$E,Вх.Данные.Доход!$F:$F,"&lt;="&amp;$A9,Вх.Данные.Доход!$G:$G,"&gt;="&amp;$A9,Вх.Данные.Доход!$A:$A,РазбивкаДохода!G$1)</f>
        <v>1050000</v>
      </c>
      <c r="H9" s="165">
        <f>SUMIFS(Вх.Данные.Доход!$E:$E,Вх.Данные.Доход!$F:$F,"&lt;="&amp;$A9,Вх.Данные.Доход!$G:$G,"&gt;="&amp;$A9,Вх.Данные.Доход!$A:$A,РазбивкаДохода!H$1)</f>
        <v>550000</v>
      </c>
      <c r="I9" s="165">
        <f>SUMIFS(Вх.Данные.Доход!$E:$E,Вх.Данные.Доход!$F:$F,"&lt;="&amp;$A9,Вх.Данные.Доход!$G:$G,"&gt;="&amp;$A9,Вх.Данные.Доход!$A:$A,РазбивкаДохода!I$1)</f>
        <v>600000</v>
      </c>
      <c r="J9" s="204">
        <f>INDEX(Вх.Данные.Ассортимент!$K$57:$L$58,2,MATCH($J$1,Вх.Данные.Ассортимент!$K$57:$L$57,0))</f>
        <v>0.74999999999999989</v>
      </c>
      <c r="K9" s="205">
        <f>INDEX(Вх.Данные.Ассортимент!$Q$57:$R$58,2,MATCH($K$1,Вх.Данные.Ассортимент!$Q$57:$R$57,0))</f>
        <v>0.33333333333333326</v>
      </c>
      <c r="L9">
        <f>INDEX(Вх.Данные.Ассортимент!$D$57:$E$58,2,MATCH($J$1,Вх.Данные.Ассортимент!$K$57:$L$57,0))</f>
        <v>53.896000000000001</v>
      </c>
      <c r="M9">
        <f>INDEX(Вх.Данные.Ассортимент!$O$57:$P$58,2,MATCH($K$1,Вх.Данные.Ассортимент!$Q$57:$R$57,0))</f>
        <v>20.210999999999999</v>
      </c>
    </row>
    <row r="10" spans="1:13" x14ac:dyDescent="0.25">
      <c r="A10" s="67">
        <f t="shared" si="3"/>
        <v>8</v>
      </c>
      <c r="B10" s="67">
        <f t="shared" si="4"/>
        <v>10</v>
      </c>
      <c r="C10" s="67">
        <f t="shared" si="0"/>
        <v>2018</v>
      </c>
      <c r="D10" s="168">
        <f>EOMONTH(Настройки!$I$7,$A10)</f>
        <v>43404</v>
      </c>
      <c r="E10" s="170">
        <f t="shared" si="2"/>
        <v>2680000</v>
      </c>
      <c r="F10" s="165">
        <f>SUMIFS(Вх.Данные.Доход!$E:$E,Вх.Данные.Доход!$F:$F,"&lt;="&amp;$A10,Вх.Данные.Доход!$G:$G,"&gt;="&amp;$A10,Вх.Данные.Доход!$A:$A,РазбивкаДохода!F$1)</f>
        <v>480000</v>
      </c>
      <c r="G10" s="165">
        <f>SUMIFS(Вх.Данные.Доход!$E:$E,Вх.Данные.Доход!$F:$F,"&lt;="&amp;$A10,Вх.Данные.Доход!$G:$G,"&gt;="&amp;$A10,Вх.Данные.Доход!$A:$A,РазбивкаДохода!G$1)</f>
        <v>1050000</v>
      </c>
      <c r="H10" s="165">
        <f>SUMIFS(Вх.Данные.Доход!$E:$E,Вх.Данные.Доход!$F:$F,"&lt;="&amp;$A10,Вх.Данные.Доход!$G:$G,"&gt;="&amp;$A10,Вх.Данные.Доход!$A:$A,РазбивкаДохода!H$1)</f>
        <v>550000</v>
      </c>
      <c r="I10" s="165">
        <f>SUMIFS(Вх.Данные.Доход!$E:$E,Вх.Данные.Доход!$F:$F,"&lt;="&amp;$A10,Вх.Данные.Доход!$G:$G,"&gt;="&amp;$A10,Вх.Данные.Доход!$A:$A,РазбивкаДохода!I$1)</f>
        <v>600000</v>
      </c>
      <c r="J10" s="204">
        <f>INDEX(Вх.Данные.Ассортимент!$K$57:$L$58,2,MATCH($J$1,Вх.Данные.Ассортимент!$K$57:$L$57,0))</f>
        <v>0.74999999999999989</v>
      </c>
      <c r="K10" s="205">
        <f>INDEX(Вх.Данные.Ассортимент!$Q$57:$R$58,2,MATCH($K$1,Вх.Данные.Ассортимент!$Q$57:$R$57,0))</f>
        <v>0.33333333333333326</v>
      </c>
      <c r="L10">
        <f>INDEX(Вх.Данные.Ассортимент!$D$57:$E$58,2,MATCH($J$1,Вх.Данные.Ассортимент!$K$57:$L$57,0))</f>
        <v>53.896000000000001</v>
      </c>
      <c r="M10">
        <f>INDEX(Вх.Данные.Ассортимент!$O$57:$P$58,2,MATCH($K$1,Вх.Данные.Ассортимент!$Q$57:$R$57,0))</f>
        <v>20.210999999999999</v>
      </c>
    </row>
    <row r="11" spans="1:13" x14ac:dyDescent="0.25">
      <c r="A11" s="67">
        <f t="shared" si="3"/>
        <v>9</v>
      </c>
      <c r="B11" s="67">
        <f t="shared" si="4"/>
        <v>11</v>
      </c>
      <c r="C11" s="67">
        <f t="shared" si="0"/>
        <v>2018</v>
      </c>
      <c r="D11" s="168">
        <f>EOMONTH(Настройки!$I$7,$A11)</f>
        <v>43434</v>
      </c>
      <c r="E11" s="170">
        <f t="shared" si="2"/>
        <v>2680000</v>
      </c>
      <c r="F11" s="165">
        <f>SUMIFS(Вх.Данные.Доход!$E:$E,Вх.Данные.Доход!$F:$F,"&lt;="&amp;$A11,Вх.Данные.Доход!$G:$G,"&gt;="&amp;$A11,Вх.Данные.Доход!$A:$A,РазбивкаДохода!F$1)</f>
        <v>480000</v>
      </c>
      <c r="G11" s="165">
        <f>SUMIFS(Вх.Данные.Доход!$E:$E,Вх.Данные.Доход!$F:$F,"&lt;="&amp;$A11,Вх.Данные.Доход!$G:$G,"&gt;="&amp;$A11,Вх.Данные.Доход!$A:$A,РазбивкаДохода!G$1)</f>
        <v>1050000</v>
      </c>
      <c r="H11" s="165">
        <f>SUMIFS(Вх.Данные.Доход!$E:$E,Вх.Данные.Доход!$F:$F,"&lt;="&amp;$A11,Вх.Данные.Доход!$G:$G,"&gt;="&amp;$A11,Вх.Данные.Доход!$A:$A,РазбивкаДохода!H$1)</f>
        <v>550000</v>
      </c>
      <c r="I11" s="165">
        <f>SUMIFS(Вх.Данные.Доход!$E:$E,Вх.Данные.Доход!$F:$F,"&lt;="&amp;$A11,Вх.Данные.Доход!$G:$G,"&gt;="&amp;$A11,Вх.Данные.Доход!$A:$A,РазбивкаДохода!I$1)</f>
        <v>600000</v>
      </c>
      <c r="J11" s="204">
        <f>INDEX(Вх.Данные.Ассортимент!$K$57:$L$58,2,MATCH($J$1,Вх.Данные.Ассортимент!$K$57:$L$57,0))</f>
        <v>0.74999999999999989</v>
      </c>
      <c r="K11" s="205">
        <f>INDEX(Вх.Данные.Ассортимент!$Q$57:$R$58,2,MATCH($K$1,Вх.Данные.Ассортимент!$Q$57:$R$57,0))</f>
        <v>0.33333333333333326</v>
      </c>
      <c r="L11">
        <f>INDEX(Вх.Данные.Ассортимент!$D$57:$E$58,2,MATCH($J$1,Вх.Данные.Ассортимент!$K$57:$L$57,0))</f>
        <v>53.896000000000001</v>
      </c>
      <c r="M11">
        <f>INDEX(Вх.Данные.Ассортимент!$O$57:$P$58,2,MATCH($K$1,Вх.Данные.Ассортимент!$Q$57:$R$57,0))</f>
        <v>20.210999999999999</v>
      </c>
    </row>
    <row r="12" spans="1:13" x14ac:dyDescent="0.25">
      <c r="A12" s="67">
        <f t="shared" si="3"/>
        <v>10</v>
      </c>
      <c r="B12" s="67">
        <f t="shared" si="4"/>
        <v>12</v>
      </c>
      <c r="C12" s="67">
        <f t="shared" si="0"/>
        <v>2018</v>
      </c>
      <c r="D12" s="168">
        <f>EOMONTH(Настройки!$I$7,$A12)</f>
        <v>43465</v>
      </c>
      <c r="E12" s="170">
        <f t="shared" si="2"/>
        <v>3046000</v>
      </c>
      <c r="F12" s="165">
        <f>SUMIFS(Вх.Данные.Доход!$E:$E,Вх.Данные.Доход!$F:$F,"&lt;="&amp;$A12,Вх.Данные.Доход!$G:$G,"&gt;="&amp;$A12,Вх.Данные.Доход!$A:$A,РазбивкаДохода!F$1)</f>
        <v>480000</v>
      </c>
      <c r="G12" s="165">
        <f>SUMIFS(Вх.Данные.Доход!$E:$E,Вх.Данные.Доход!$F:$F,"&lt;="&amp;$A12,Вх.Данные.Доход!$G:$G,"&gt;="&amp;$A12,Вх.Данные.Доход!$A:$A,РазбивкаДохода!G$1)</f>
        <v>1110000</v>
      </c>
      <c r="H12" s="165">
        <f>SUMIFS(Вх.Данные.Доход!$E:$E,Вх.Данные.Доход!$F:$F,"&lt;="&amp;$A12,Вх.Данные.Доход!$G:$G,"&gt;="&amp;$A12,Вх.Данные.Доход!$A:$A,РазбивкаДохода!H$1)</f>
        <v>616000</v>
      </c>
      <c r="I12" s="165">
        <f>SUMIFS(Вх.Данные.Доход!$E:$E,Вх.Данные.Доход!$F:$F,"&lt;="&amp;$A12,Вх.Данные.Доход!$G:$G,"&gt;="&amp;$A12,Вх.Данные.Доход!$A:$A,РазбивкаДохода!I$1)</f>
        <v>840000</v>
      </c>
      <c r="J12" s="204">
        <f>INDEX(Вх.Данные.Ассортимент!$K$57:$L$58,2,MATCH($J$1,Вх.Данные.Ассортимент!$K$57:$L$57,0))</f>
        <v>0.74999999999999989</v>
      </c>
      <c r="K12" s="205">
        <f>INDEX(Вх.Данные.Ассортимент!$Q$57:$R$58,2,MATCH($K$1,Вх.Данные.Ассортимент!$Q$57:$R$57,0))</f>
        <v>0.33333333333333326</v>
      </c>
      <c r="L12">
        <f>INDEX(Вх.Данные.Ассортимент!$D$57:$E$58,2,MATCH($J$1,Вх.Данные.Ассортимент!$K$57:$L$57,0))</f>
        <v>53.896000000000001</v>
      </c>
      <c r="M12">
        <f>INDEX(Вх.Данные.Ассортимент!$O$57:$P$58,2,MATCH($K$1,Вх.Данные.Ассортимент!$Q$57:$R$57,0))</f>
        <v>20.210999999999999</v>
      </c>
    </row>
    <row r="13" spans="1:13" x14ac:dyDescent="0.25">
      <c r="A13" s="67">
        <f t="shared" si="3"/>
        <v>11</v>
      </c>
      <c r="B13" s="67">
        <f t="shared" si="4"/>
        <v>1</v>
      </c>
      <c r="C13" s="67">
        <f t="shared" si="0"/>
        <v>2019</v>
      </c>
      <c r="D13" s="168">
        <f>EOMONTH(Настройки!$I$7,$A13)</f>
        <v>43496</v>
      </c>
      <c r="E13" s="170">
        <f t="shared" si="2"/>
        <v>3046000</v>
      </c>
      <c r="F13" s="165">
        <f>SUMIFS(Вх.Данные.Доход!$E:$E,Вх.Данные.Доход!$F:$F,"&lt;="&amp;$A13,Вх.Данные.Доход!$G:$G,"&gt;="&amp;$A13,Вх.Данные.Доход!$A:$A,РазбивкаДохода!F$1)</f>
        <v>480000</v>
      </c>
      <c r="G13" s="165">
        <f>SUMIFS(Вх.Данные.Доход!$E:$E,Вх.Данные.Доход!$F:$F,"&lt;="&amp;$A13,Вх.Данные.Доход!$G:$G,"&gt;="&amp;$A13,Вх.Данные.Доход!$A:$A,РазбивкаДохода!G$1)</f>
        <v>1110000</v>
      </c>
      <c r="H13" s="165">
        <f>SUMIFS(Вх.Данные.Доход!$E:$E,Вх.Данные.Доход!$F:$F,"&lt;="&amp;$A13,Вх.Данные.Доход!$G:$G,"&gt;="&amp;$A13,Вх.Данные.Доход!$A:$A,РазбивкаДохода!H$1)</f>
        <v>616000</v>
      </c>
      <c r="I13" s="165">
        <f>SUMIFS(Вх.Данные.Доход!$E:$E,Вх.Данные.Доход!$F:$F,"&lt;="&amp;$A13,Вх.Данные.Доход!$G:$G,"&gt;="&amp;$A13,Вх.Данные.Доход!$A:$A,РазбивкаДохода!I$1)</f>
        <v>840000</v>
      </c>
      <c r="J13" s="204">
        <f>INDEX(Вх.Данные.Ассортимент!$K$57:$L$58,2,MATCH($J$1,Вх.Данные.Ассортимент!$K$57:$L$57,0))</f>
        <v>0.74999999999999989</v>
      </c>
      <c r="K13" s="205">
        <f>INDEX(Вх.Данные.Ассортимент!$Q$57:$R$58,2,MATCH($K$1,Вх.Данные.Ассортимент!$Q$57:$R$57,0))</f>
        <v>0.33333333333333326</v>
      </c>
      <c r="L13">
        <f>INDEX(Вх.Данные.Ассортимент!$D$57:$E$58,2,MATCH($J$1,Вх.Данные.Ассортимент!$K$57:$L$57,0))</f>
        <v>53.896000000000001</v>
      </c>
      <c r="M13">
        <f>INDEX(Вх.Данные.Ассортимент!$O$57:$P$58,2,MATCH($K$1,Вх.Данные.Ассортимент!$Q$57:$R$57,0))</f>
        <v>20.210999999999999</v>
      </c>
    </row>
    <row r="14" spans="1:13" x14ac:dyDescent="0.25">
      <c r="A14" s="67">
        <f t="shared" si="3"/>
        <v>12</v>
      </c>
      <c r="B14" s="67">
        <f t="shared" si="4"/>
        <v>2</v>
      </c>
      <c r="C14" s="67">
        <f t="shared" si="0"/>
        <v>2019</v>
      </c>
      <c r="D14" s="168">
        <f>EOMONTH(Настройки!$I$7,$A14)</f>
        <v>43524</v>
      </c>
      <c r="E14" s="170">
        <f t="shared" si="2"/>
        <v>3046000</v>
      </c>
      <c r="F14" s="165">
        <f>SUMIFS(Вх.Данные.Доход!$E:$E,Вх.Данные.Доход!$F:$F,"&lt;="&amp;$A14,Вх.Данные.Доход!$G:$G,"&gt;="&amp;$A14,Вх.Данные.Доход!$A:$A,РазбивкаДохода!F$1)</f>
        <v>480000</v>
      </c>
      <c r="G14" s="165">
        <f>SUMIFS(Вх.Данные.Доход!$E:$E,Вх.Данные.Доход!$F:$F,"&lt;="&amp;$A14,Вх.Данные.Доход!$G:$G,"&gt;="&amp;$A14,Вх.Данные.Доход!$A:$A,РазбивкаДохода!G$1)</f>
        <v>1110000</v>
      </c>
      <c r="H14" s="165">
        <f>SUMIFS(Вх.Данные.Доход!$E:$E,Вх.Данные.Доход!$F:$F,"&lt;="&amp;$A14,Вх.Данные.Доход!$G:$G,"&gt;="&amp;$A14,Вх.Данные.Доход!$A:$A,РазбивкаДохода!H$1)</f>
        <v>616000</v>
      </c>
      <c r="I14" s="165">
        <f>SUMIFS(Вх.Данные.Доход!$E:$E,Вх.Данные.Доход!$F:$F,"&lt;="&amp;$A14,Вх.Данные.Доход!$G:$G,"&gt;="&amp;$A14,Вх.Данные.Доход!$A:$A,РазбивкаДохода!I$1)</f>
        <v>840000</v>
      </c>
      <c r="J14" s="204">
        <f>INDEX(Вх.Данные.Ассортимент!$K$57:$L$58,2,MATCH($J$1,Вх.Данные.Ассортимент!$K$57:$L$57,0))</f>
        <v>0.74999999999999989</v>
      </c>
      <c r="K14" s="205">
        <f>INDEX(Вх.Данные.Ассортимент!$Q$57:$R$58,2,MATCH($K$1,Вх.Данные.Ассортимент!$Q$57:$R$57,0))</f>
        <v>0.33333333333333326</v>
      </c>
      <c r="L14">
        <f>INDEX(Вх.Данные.Ассортимент!$D$57:$E$58,2,MATCH($J$1,Вх.Данные.Ассортимент!$K$57:$L$57,0))</f>
        <v>53.896000000000001</v>
      </c>
      <c r="M14">
        <f>INDEX(Вх.Данные.Ассортимент!$O$57:$P$58,2,MATCH($K$1,Вх.Данные.Ассортимент!$Q$57:$R$57,0))</f>
        <v>20.210999999999999</v>
      </c>
    </row>
    <row r="15" spans="1:13" x14ac:dyDescent="0.25">
      <c r="A15" s="67">
        <f t="shared" si="3"/>
        <v>13</v>
      </c>
      <c r="B15" s="67">
        <f t="shared" si="4"/>
        <v>3</v>
      </c>
      <c r="C15" s="67">
        <f t="shared" si="0"/>
        <v>2019</v>
      </c>
      <c r="D15" s="168">
        <f>EOMONTH(Настройки!$I$7,$A15)</f>
        <v>43555</v>
      </c>
      <c r="E15" s="170">
        <f t="shared" si="2"/>
        <v>3046000</v>
      </c>
      <c r="F15" s="165">
        <f>SUMIFS(Вх.Данные.Доход!$E:$E,Вх.Данные.Доход!$F:$F,"&lt;="&amp;$A15,Вх.Данные.Доход!$G:$G,"&gt;="&amp;$A15,Вх.Данные.Доход!$A:$A,РазбивкаДохода!F$1)</f>
        <v>480000</v>
      </c>
      <c r="G15" s="165">
        <f>SUMIFS(Вх.Данные.Доход!$E:$E,Вх.Данные.Доход!$F:$F,"&lt;="&amp;$A15,Вх.Данные.Доход!$G:$G,"&gt;="&amp;$A15,Вх.Данные.Доход!$A:$A,РазбивкаДохода!G$1)</f>
        <v>1110000</v>
      </c>
      <c r="H15" s="165">
        <f>SUMIFS(Вх.Данные.Доход!$E:$E,Вх.Данные.Доход!$F:$F,"&lt;="&amp;$A15,Вх.Данные.Доход!$G:$G,"&gt;="&amp;$A15,Вх.Данные.Доход!$A:$A,РазбивкаДохода!H$1)</f>
        <v>616000</v>
      </c>
      <c r="I15" s="165">
        <f>SUMIFS(Вх.Данные.Доход!$E:$E,Вх.Данные.Доход!$F:$F,"&lt;="&amp;$A15,Вх.Данные.Доход!$G:$G,"&gt;="&amp;$A15,Вх.Данные.Доход!$A:$A,РазбивкаДохода!I$1)</f>
        <v>840000</v>
      </c>
      <c r="J15" s="204">
        <f>INDEX(Вх.Данные.Ассортимент!$K$57:$L$58,2,MATCH($J$1,Вх.Данные.Ассортимент!$K$57:$L$57,0))</f>
        <v>0.74999999999999989</v>
      </c>
      <c r="K15" s="205">
        <f>INDEX(Вх.Данные.Ассортимент!$Q$57:$R$58,2,MATCH($K$1,Вх.Данные.Ассортимент!$Q$57:$R$57,0))</f>
        <v>0.33333333333333326</v>
      </c>
      <c r="L15">
        <f>INDEX(Вх.Данные.Ассортимент!$D$57:$E$58,2,MATCH($J$1,Вх.Данные.Ассортимент!$K$57:$L$57,0))</f>
        <v>53.896000000000001</v>
      </c>
      <c r="M15">
        <f>INDEX(Вх.Данные.Ассортимент!$O$57:$P$58,2,MATCH($K$1,Вх.Данные.Ассортимент!$Q$57:$R$57,0))</f>
        <v>20.210999999999999</v>
      </c>
    </row>
    <row r="16" spans="1:13" x14ac:dyDescent="0.25">
      <c r="A16" s="67">
        <f t="shared" si="3"/>
        <v>14</v>
      </c>
      <c r="B16" s="67">
        <f t="shared" si="4"/>
        <v>4</v>
      </c>
      <c r="C16" s="67">
        <f t="shared" si="0"/>
        <v>2019</v>
      </c>
      <c r="D16" s="168">
        <f>EOMONTH(Настройки!$I$7,$A16)</f>
        <v>43585</v>
      </c>
      <c r="E16" s="170">
        <f t="shared" si="2"/>
        <v>3046000</v>
      </c>
      <c r="F16" s="165">
        <f>SUMIFS(Вх.Данные.Доход!$E:$E,Вх.Данные.Доход!$F:$F,"&lt;="&amp;$A16,Вх.Данные.Доход!$G:$G,"&gt;="&amp;$A16,Вх.Данные.Доход!$A:$A,РазбивкаДохода!F$1)</f>
        <v>480000</v>
      </c>
      <c r="G16" s="165">
        <f>SUMIFS(Вх.Данные.Доход!$E:$E,Вх.Данные.Доход!$F:$F,"&lt;="&amp;$A16,Вх.Данные.Доход!$G:$G,"&gt;="&amp;$A16,Вх.Данные.Доход!$A:$A,РазбивкаДохода!G$1)</f>
        <v>1110000</v>
      </c>
      <c r="H16" s="165">
        <f>SUMIFS(Вх.Данные.Доход!$E:$E,Вх.Данные.Доход!$F:$F,"&lt;="&amp;$A16,Вх.Данные.Доход!$G:$G,"&gt;="&amp;$A16,Вх.Данные.Доход!$A:$A,РазбивкаДохода!H$1)</f>
        <v>616000</v>
      </c>
      <c r="I16" s="165">
        <f>SUMIFS(Вх.Данные.Доход!$E:$E,Вх.Данные.Доход!$F:$F,"&lt;="&amp;$A16,Вх.Данные.Доход!$G:$G,"&gt;="&amp;$A16,Вх.Данные.Доход!$A:$A,РазбивкаДохода!I$1)</f>
        <v>840000</v>
      </c>
      <c r="J16" s="204">
        <f>INDEX(Вх.Данные.Ассортимент!$K$57:$L$58,2,MATCH($J$1,Вх.Данные.Ассортимент!$K$57:$L$57,0))</f>
        <v>0.74999999999999989</v>
      </c>
      <c r="K16" s="205">
        <f>INDEX(Вх.Данные.Ассортимент!$Q$57:$R$58,2,MATCH($K$1,Вх.Данные.Ассортимент!$Q$57:$R$57,0))</f>
        <v>0.33333333333333326</v>
      </c>
      <c r="L16">
        <f>INDEX(Вх.Данные.Ассортимент!$D$57:$E$58,2,MATCH($J$1,Вх.Данные.Ассортимент!$K$57:$L$57,0))</f>
        <v>53.896000000000001</v>
      </c>
      <c r="M16">
        <f>INDEX(Вх.Данные.Ассортимент!$O$57:$P$58,2,MATCH($K$1,Вх.Данные.Ассортимент!$Q$57:$R$57,0))</f>
        <v>20.210999999999999</v>
      </c>
    </row>
    <row r="17" spans="1:13" x14ac:dyDescent="0.25">
      <c r="A17" s="67">
        <f t="shared" si="3"/>
        <v>15</v>
      </c>
      <c r="B17" s="67">
        <f t="shared" si="4"/>
        <v>5</v>
      </c>
      <c r="C17" s="67">
        <f t="shared" si="0"/>
        <v>2019</v>
      </c>
      <c r="D17" s="168">
        <f>EOMONTH(Настройки!$I$7,$A17)</f>
        <v>43616</v>
      </c>
      <c r="E17" s="170">
        <f t="shared" si="2"/>
        <v>3740000</v>
      </c>
      <c r="F17" s="165">
        <f>SUMIFS(Вх.Данные.Доход!$E:$E,Вх.Данные.Доход!$F:$F,"&lt;="&amp;$A17,Вх.Данные.Доход!$G:$G,"&gt;="&amp;$A17,Вх.Данные.Доход!$A:$A,РазбивкаДохода!F$1)</f>
        <v>480000</v>
      </c>
      <c r="G17" s="165">
        <f>SUMIFS(Вх.Данные.Доход!$E:$E,Вх.Данные.Доход!$F:$F,"&lt;="&amp;$A17,Вх.Данные.Доход!$G:$G,"&gt;="&amp;$A17,Вх.Данные.Доход!$A:$A,РазбивкаДохода!G$1)</f>
        <v>1110000</v>
      </c>
      <c r="H17" s="165">
        <f>SUMIFS(Вх.Данные.Доход!$E:$E,Вх.Данные.Доход!$F:$F,"&lt;="&amp;$A17,Вх.Данные.Доход!$G:$G,"&gt;="&amp;$A17,Вх.Данные.Доход!$A:$A,РазбивкаДохода!H$1)</f>
        <v>1100000</v>
      </c>
      <c r="I17" s="165">
        <f>SUMIFS(Вх.Данные.Доход!$E:$E,Вх.Данные.Доход!$F:$F,"&lt;="&amp;$A17,Вх.Данные.Доход!$G:$G,"&gt;="&amp;$A17,Вх.Данные.Доход!$A:$A,РазбивкаДохода!I$1)</f>
        <v>1050000</v>
      </c>
      <c r="J17" s="204">
        <f>INDEX(Вх.Данные.Ассортимент!$K$57:$L$58,2,MATCH($J$1,Вх.Данные.Ассортимент!$K$57:$L$57,0))</f>
        <v>0.74999999999999989</v>
      </c>
      <c r="K17" s="205">
        <f>INDEX(Вх.Данные.Ассортимент!$Q$57:$R$58,2,MATCH($K$1,Вх.Данные.Ассортимент!$Q$57:$R$57,0))</f>
        <v>0.33333333333333326</v>
      </c>
      <c r="L17">
        <f>INDEX(Вх.Данные.Ассортимент!$D$57:$E$58,2,MATCH($J$1,Вх.Данные.Ассортимент!$K$57:$L$57,0))</f>
        <v>53.896000000000001</v>
      </c>
      <c r="M17">
        <f>INDEX(Вх.Данные.Ассортимент!$O$57:$P$58,2,MATCH($K$1,Вх.Данные.Ассортимент!$Q$57:$R$57,0))</f>
        <v>20.210999999999999</v>
      </c>
    </row>
    <row r="18" spans="1:13" x14ac:dyDescent="0.25">
      <c r="A18" s="67">
        <f t="shared" si="3"/>
        <v>16</v>
      </c>
      <c r="B18" s="67">
        <f t="shared" si="4"/>
        <v>6</v>
      </c>
      <c r="C18" s="67">
        <f t="shared" si="0"/>
        <v>2019</v>
      </c>
      <c r="D18" s="168">
        <f>EOMONTH(Настройки!$I$7,$A18)</f>
        <v>43646</v>
      </c>
      <c r="E18" s="170">
        <f t="shared" si="2"/>
        <v>3740000</v>
      </c>
      <c r="F18" s="165">
        <f>SUMIFS(Вх.Данные.Доход!$E:$E,Вх.Данные.Доход!$F:$F,"&lt;="&amp;$A18,Вх.Данные.Доход!$G:$G,"&gt;="&amp;$A18,Вх.Данные.Доход!$A:$A,РазбивкаДохода!F$1)</f>
        <v>480000</v>
      </c>
      <c r="G18" s="165">
        <f>SUMIFS(Вх.Данные.Доход!$E:$E,Вх.Данные.Доход!$F:$F,"&lt;="&amp;$A18,Вх.Данные.Доход!$G:$G,"&gt;="&amp;$A18,Вх.Данные.Доход!$A:$A,РазбивкаДохода!G$1)</f>
        <v>1110000</v>
      </c>
      <c r="H18" s="165">
        <f>SUMIFS(Вх.Данные.Доход!$E:$E,Вх.Данные.Доход!$F:$F,"&lt;="&amp;$A18,Вх.Данные.Доход!$G:$G,"&gt;="&amp;$A18,Вх.Данные.Доход!$A:$A,РазбивкаДохода!H$1)</f>
        <v>1100000</v>
      </c>
      <c r="I18" s="165">
        <f>SUMIFS(Вх.Данные.Доход!$E:$E,Вх.Данные.Доход!$F:$F,"&lt;="&amp;$A18,Вх.Данные.Доход!$G:$G,"&gt;="&amp;$A18,Вх.Данные.Доход!$A:$A,РазбивкаДохода!I$1)</f>
        <v>1050000</v>
      </c>
      <c r="J18" s="204">
        <f>INDEX(Вх.Данные.Ассортимент!$K$57:$L$58,2,MATCH($J$1,Вх.Данные.Ассортимент!$K$57:$L$57,0))</f>
        <v>0.74999999999999989</v>
      </c>
      <c r="K18" s="205">
        <f>INDEX(Вх.Данные.Ассортимент!$Q$57:$R$58,2,MATCH($K$1,Вх.Данные.Ассортимент!$Q$57:$R$57,0))</f>
        <v>0.33333333333333326</v>
      </c>
      <c r="L18">
        <f>INDEX(Вх.Данные.Ассортимент!$D$57:$E$58,2,MATCH($J$1,Вх.Данные.Ассортимент!$K$57:$L$57,0))</f>
        <v>53.896000000000001</v>
      </c>
      <c r="M18">
        <f>INDEX(Вх.Данные.Ассортимент!$O$57:$P$58,2,MATCH($K$1,Вх.Данные.Ассортимент!$Q$57:$R$57,0))</f>
        <v>20.210999999999999</v>
      </c>
    </row>
    <row r="19" spans="1:13" x14ac:dyDescent="0.25">
      <c r="A19" s="67">
        <f t="shared" si="3"/>
        <v>17</v>
      </c>
      <c r="B19" s="67">
        <f t="shared" si="4"/>
        <v>7</v>
      </c>
      <c r="C19" s="67">
        <f t="shared" si="0"/>
        <v>2019</v>
      </c>
      <c r="D19" s="168">
        <f>EOMONTH(Настройки!$I$7,$A19)</f>
        <v>43677</v>
      </c>
      <c r="E19" s="170">
        <f t="shared" si="2"/>
        <v>3740000</v>
      </c>
      <c r="F19" s="165">
        <f>SUMIFS(Вх.Данные.Доход!$E:$E,Вх.Данные.Доход!$F:$F,"&lt;="&amp;$A19,Вх.Данные.Доход!$G:$G,"&gt;="&amp;$A19,Вх.Данные.Доход!$A:$A,РазбивкаДохода!F$1)</f>
        <v>480000</v>
      </c>
      <c r="G19" s="165">
        <f>SUMIFS(Вх.Данные.Доход!$E:$E,Вх.Данные.Доход!$F:$F,"&lt;="&amp;$A19,Вх.Данные.Доход!$G:$G,"&gt;="&amp;$A19,Вх.Данные.Доход!$A:$A,РазбивкаДохода!G$1)</f>
        <v>1110000</v>
      </c>
      <c r="H19" s="165">
        <f>SUMIFS(Вх.Данные.Доход!$E:$E,Вх.Данные.Доход!$F:$F,"&lt;="&amp;$A19,Вх.Данные.Доход!$G:$G,"&gt;="&amp;$A19,Вх.Данные.Доход!$A:$A,РазбивкаДохода!H$1)</f>
        <v>1100000</v>
      </c>
      <c r="I19" s="165">
        <f>SUMIFS(Вх.Данные.Доход!$E:$E,Вх.Данные.Доход!$F:$F,"&lt;="&amp;$A19,Вх.Данные.Доход!$G:$G,"&gt;="&amp;$A19,Вх.Данные.Доход!$A:$A,РазбивкаДохода!I$1)</f>
        <v>1050000</v>
      </c>
      <c r="J19" s="204">
        <f>INDEX(Вх.Данные.Ассортимент!$K$57:$L$58,2,MATCH($J$1,Вх.Данные.Ассортимент!$K$57:$L$57,0))</f>
        <v>0.74999999999999989</v>
      </c>
      <c r="K19" s="205">
        <f>INDEX(Вх.Данные.Ассортимент!$Q$57:$R$58,2,MATCH($K$1,Вх.Данные.Ассортимент!$Q$57:$R$57,0))</f>
        <v>0.33333333333333326</v>
      </c>
      <c r="L19">
        <f>INDEX(Вх.Данные.Ассортимент!$D$57:$E$58,2,MATCH($J$1,Вх.Данные.Ассортимент!$K$57:$L$57,0))</f>
        <v>53.896000000000001</v>
      </c>
      <c r="M19">
        <f>INDEX(Вх.Данные.Ассортимент!$O$57:$P$58,2,MATCH($K$1,Вх.Данные.Ассортимент!$Q$57:$R$57,0))</f>
        <v>20.210999999999999</v>
      </c>
    </row>
    <row r="20" spans="1:13" x14ac:dyDescent="0.25">
      <c r="A20" s="67">
        <f t="shared" si="3"/>
        <v>18</v>
      </c>
      <c r="B20" s="67">
        <f t="shared" si="4"/>
        <v>8</v>
      </c>
      <c r="C20" s="67">
        <f t="shared" si="0"/>
        <v>2019</v>
      </c>
      <c r="D20" s="168">
        <f>EOMONTH(Настройки!$I$7,$A20)</f>
        <v>43708</v>
      </c>
      <c r="E20" s="170">
        <f t="shared" si="2"/>
        <v>3740000</v>
      </c>
      <c r="F20" s="165">
        <f>SUMIFS(Вх.Данные.Доход!$E:$E,Вх.Данные.Доход!$F:$F,"&lt;="&amp;$A20,Вх.Данные.Доход!$G:$G,"&gt;="&amp;$A20,Вх.Данные.Доход!$A:$A,РазбивкаДохода!F$1)</f>
        <v>480000</v>
      </c>
      <c r="G20" s="165">
        <f>SUMIFS(Вх.Данные.Доход!$E:$E,Вх.Данные.Доход!$F:$F,"&lt;="&amp;$A20,Вх.Данные.Доход!$G:$G,"&gt;="&amp;$A20,Вх.Данные.Доход!$A:$A,РазбивкаДохода!G$1)</f>
        <v>1110000</v>
      </c>
      <c r="H20" s="165">
        <f>SUMIFS(Вх.Данные.Доход!$E:$E,Вх.Данные.Доход!$F:$F,"&lt;="&amp;$A20,Вх.Данные.Доход!$G:$G,"&gt;="&amp;$A20,Вх.Данные.Доход!$A:$A,РазбивкаДохода!H$1)</f>
        <v>1100000</v>
      </c>
      <c r="I20" s="165">
        <f>SUMIFS(Вх.Данные.Доход!$E:$E,Вх.Данные.Доход!$F:$F,"&lt;="&amp;$A20,Вх.Данные.Доход!$G:$G,"&gt;="&amp;$A20,Вх.Данные.Доход!$A:$A,РазбивкаДохода!I$1)</f>
        <v>1050000</v>
      </c>
      <c r="J20" s="204">
        <f>INDEX(Вх.Данные.Ассортимент!$K$57:$L$58,2,MATCH($J$1,Вх.Данные.Ассортимент!$K$57:$L$57,0))</f>
        <v>0.74999999999999989</v>
      </c>
      <c r="K20" s="205">
        <f>INDEX(Вх.Данные.Ассортимент!$Q$57:$R$58,2,MATCH($K$1,Вх.Данные.Ассортимент!$Q$57:$R$57,0))</f>
        <v>0.33333333333333326</v>
      </c>
      <c r="L20">
        <f>INDEX(Вх.Данные.Ассортимент!$D$57:$E$58,2,MATCH($J$1,Вх.Данные.Ассортимент!$K$57:$L$57,0))</f>
        <v>53.896000000000001</v>
      </c>
      <c r="M20">
        <f>INDEX(Вх.Данные.Ассортимент!$O$57:$P$58,2,MATCH($K$1,Вх.Данные.Ассортимент!$Q$57:$R$57,0))</f>
        <v>20.210999999999999</v>
      </c>
    </row>
    <row r="21" spans="1:13" x14ac:dyDescent="0.25">
      <c r="A21" s="67">
        <f t="shared" si="3"/>
        <v>19</v>
      </c>
      <c r="B21" s="67">
        <f t="shared" si="4"/>
        <v>9</v>
      </c>
      <c r="C21" s="67">
        <f t="shared" si="0"/>
        <v>2019</v>
      </c>
      <c r="D21" s="168">
        <f>EOMONTH(Настройки!$I$7,$A21)</f>
        <v>43738</v>
      </c>
      <c r="E21" s="170">
        <f t="shared" si="2"/>
        <v>3740000</v>
      </c>
      <c r="F21" s="165">
        <f>SUMIFS(Вх.Данные.Доход!$E:$E,Вх.Данные.Доход!$F:$F,"&lt;="&amp;$A21,Вх.Данные.Доход!$G:$G,"&gt;="&amp;$A21,Вх.Данные.Доход!$A:$A,РазбивкаДохода!F$1)</f>
        <v>480000</v>
      </c>
      <c r="G21" s="165">
        <f>SUMIFS(Вх.Данные.Доход!$E:$E,Вх.Данные.Доход!$F:$F,"&lt;="&amp;$A21,Вх.Данные.Доход!$G:$G,"&gt;="&amp;$A21,Вх.Данные.Доход!$A:$A,РазбивкаДохода!G$1)</f>
        <v>1110000</v>
      </c>
      <c r="H21" s="165">
        <f>SUMIFS(Вх.Данные.Доход!$E:$E,Вх.Данные.Доход!$F:$F,"&lt;="&amp;$A21,Вх.Данные.Доход!$G:$G,"&gt;="&amp;$A21,Вх.Данные.Доход!$A:$A,РазбивкаДохода!H$1)</f>
        <v>1100000</v>
      </c>
      <c r="I21" s="165">
        <f>SUMIFS(Вх.Данные.Доход!$E:$E,Вх.Данные.Доход!$F:$F,"&lt;="&amp;$A21,Вх.Данные.Доход!$G:$G,"&gt;="&amp;$A21,Вх.Данные.Доход!$A:$A,РазбивкаДохода!I$1)</f>
        <v>1050000</v>
      </c>
      <c r="J21" s="204">
        <f>INDEX(Вх.Данные.Ассортимент!$K$57:$L$58,2,MATCH($J$1,Вх.Данные.Ассортимент!$K$57:$L$57,0))</f>
        <v>0.74999999999999989</v>
      </c>
      <c r="K21" s="205">
        <f>INDEX(Вх.Данные.Ассортимент!$Q$57:$R$58,2,MATCH($K$1,Вх.Данные.Ассортимент!$Q$57:$R$57,0))</f>
        <v>0.33333333333333326</v>
      </c>
      <c r="L21">
        <f>INDEX(Вх.Данные.Ассортимент!$D$57:$E$58,2,MATCH($J$1,Вх.Данные.Ассортимент!$K$57:$L$57,0))</f>
        <v>53.896000000000001</v>
      </c>
      <c r="M21">
        <f>INDEX(Вх.Данные.Ассортимент!$O$57:$P$58,2,MATCH($K$1,Вх.Данные.Ассортимент!$Q$57:$R$57,0))</f>
        <v>20.210999999999999</v>
      </c>
    </row>
    <row r="22" spans="1:13" x14ac:dyDescent="0.25">
      <c r="A22" s="67">
        <f t="shared" si="3"/>
        <v>20</v>
      </c>
      <c r="B22" s="67">
        <f t="shared" si="4"/>
        <v>10</v>
      </c>
      <c r="C22" s="67">
        <f t="shared" si="0"/>
        <v>2019</v>
      </c>
      <c r="D22" s="168">
        <f>EOMONTH(Настройки!$I$7,$A22)</f>
        <v>43769</v>
      </c>
      <c r="E22" s="170">
        <f t="shared" si="2"/>
        <v>3740000</v>
      </c>
      <c r="F22" s="165">
        <f>SUMIFS(Вх.Данные.Доход!$E:$E,Вх.Данные.Доход!$F:$F,"&lt;="&amp;$A22,Вх.Данные.Доход!$G:$G,"&gt;="&amp;$A22,Вх.Данные.Доход!$A:$A,РазбивкаДохода!F$1)</f>
        <v>480000</v>
      </c>
      <c r="G22" s="165">
        <f>SUMIFS(Вх.Данные.Доход!$E:$E,Вх.Данные.Доход!$F:$F,"&lt;="&amp;$A22,Вх.Данные.Доход!$G:$G,"&gt;="&amp;$A22,Вх.Данные.Доход!$A:$A,РазбивкаДохода!G$1)</f>
        <v>1110000</v>
      </c>
      <c r="H22" s="165">
        <f>SUMIFS(Вх.Данные.Доход!$E:$E,Вх.Данные.Доход!$F:$F,"&lt;="&amp;$A22,Вх.Данные.Доход!$G:$G,"&gt;="&amp;$A22,Вх.Данные.Доход!$A:$A,РазбивкаДохода!H$1)</f>
        <v>1100000</v>
      </c>
      <c r="I22" s="165">
        <f>SUMIFS(Вх.Данные.Доход!$E:$E,Вх.Данные.Доход!$F:$F,"&lt;="&amp;$A22,Вх.Данные.Доход!$G:$G,"&gt;="&amp;$A22,Вх.Данные.Доход!$A:$A,РазбивкаДохода!I$1)</f>
        <v>1050000</v>
      </c>
      <c r="J22" s="204">
        <f>INDEX(Вх.Данные.Ассортимент!$K$57:$L$58,2,MATCH($J$1,Вх.Данные.Ассортимент!$K$57:$L$57,0))</f>
        <v>0.74999999999999989</v>
      </c>
      <c r="K22" s="205">
        <f>INDEX(Вх.Данные.Ассортимент!$Q$57:$R$58,2,MATCH($K$1,Вх.Данные.Ассортимент!$Q$57:$R$57,0))</f>
        <v>0.33333333333333326</v>
      </c>
      <c r="L22">
        <f>INDEX(Вх.Данные.Ассортимент!$D$57:$E$58,2,MATCH($J$1,Вх.Данные.Ассортимент!$K$57:$L$57,0))</f>
        <v>53.896000000000001</v>
      </c>
      <c r="M22">
        <f>INDEX(Вх.Данные.Ассортимент!$O$57:$P$58,2,MATCH($K$1,Вх.Данные.Ассортимент!$Q$57:$R$57,0))</f>
        <v>20.210999999999999</v>
      </c>
    </row>
    <row r="23" spans="1:13" x14ac:dyDescent="0.25">
      <c r="A23" s="67">
        <f t="shared" si="3"/>
        <v>21</v>
      </c>
      <c r="B23" s="67">
        <f t="shared" si="4"/>
        <v>11</v>
      </c>
      <c r="C23" s="67">
        <f t="shared" si="0"/>
        <v>2019</v>
      </c>
      <c r="D23" s="168">
        <f>EOMONTH(Настройки!$I$7,$A23)</f>
        <v>43799</v>
      </c>
      <c r="E23" s="170">
        <f t="shared" si="2"/>
        <v>3740000</v>
      </c>
      <c r="F23" s="165">
        <f>SUMIFS(Вх.Данные.Доход!$E:$E,Вх.Данные.Доход!$F:$F,"&lt;="&amp;$A23,Вх.Данные.Доход!$G:$G,"&gt;="&amp;$A23,Вх.Данные.Доход!$A:$A,РазбивкаДохода!F$1)</f>
        <v>480000</v>
      </c>
      <c r="G23" s="165">
        <f>SUMIFS(Вх.Данные.Доход!$E:$E,Вх.Данные.Доход!$F:$F,"&lt;="&amp;$A23,Вх.Данные.Доход!$G:$G,"&gt;="&amp;$A23,Вх.Данные.Доход!$A:$A,РазбивкаДохода!G$1)</f>
        <v>1110000</v>
      </c>
      <c r="H23" s="165">
        <f>SUMIFS(Вх.Данные.Доход!$E:$E,Вх.Данные.Доход!$F:$F,"&lt;="&amp;$A23,Вх.Данные.Доход!$G:$G,"&gt;="&amp;$A23,Вх.Данные.Доход!$A:$A,РазбивкаДохода!H$1)</f>
        <v>1100000</v>
      </c>
      <c r="I23" s="165">
        <f>SUMIFS(Вх.Данные.Доход!$E:$E,Вх.Данные.Доход!$F:$F,"&lt;="&amp;$A23,Вх.Данные.Доход!$G:$G,"&gt;="&amp;$A23,Вх.Данные.Доход!$A:$A,РазбивкаДохода!I$1)</f>
        <v>1050000</v>
      </c>
      <c r="J23" s="204">
        <f>INDEX(Вх.Данные.Ассортимент!$K$57:$L$58,2,MATCH($J$1,Вх.Данные.Ассортимент!$K$57:$L$57,0))</f>
        <v>0.74999999999999989</v>
      </c>
      <c r="K23" s="205">
        <f>INDEX(Вх.Данные.Ассортимент!$Q$57:$R$58,2,MATCH($K$1,Вх.Данные.Ассортимент!$Q$57:$R$57,0))</f>
        <v>0.33333333333333326</v>
      </c>
      <c r="L23">
        <f>INDEX(Вх.Данные.Ассортимент!$D$57:$E$58,2,MATCH($J$1,Вх.Данные.Ассортимент!$K$57:$L$57,0))</f>
        <v>53.896000000000001</v>
      </c>
      <c r="M23">
        <f>INDEX(Вх.Данные.Ассортимент!$O$57:$P$58,2,MATCH($K$1,Вх.Данные.Ассортимент!$Q$57:$R$57,0))</f>
        <v>20.210999999999999</v>
      </c>
    </row>
    <row r="24" spans="1:13" x14ac:dyDescent="0.25">
      <c r="A24" s="67">
        <f t="shared" si="3"/>
        <v>22</v>
      </c>
      <c r="B24" s="67">
        <f t="shared" si="4"/>
        <v>12</v>
      </c>
      <c r="C24" s="67">
        <f t="shared" si="0"/>
        <v>2019</v>
      </c>
      <c r="D24" s="168">
        <f>EOMONTH(Настройки!$I$7,$A24)</f>
        <v>43830</v>
      </c>
      <c r="E24" s="170">
        <f t="shared" si="2"/>
        <v>3740000</v>
      </c>
      <c r="F24" s="165">
        <f>SUMIFS(Вх.Данные.Доход!$E:$E,Вх.Данные.Доход!$F:$F,"&lt;="&amp;$A24,Вх.Данные.Доход!$G:$G,"&gt;="&amp;$A24,Вх.Данные.Доход!$A:$A,РазбивкаДохода!F$1)</f>
        <v>480000</v>
      </c>
      <c r="G24" s="165">
        <f>SUMIFS(Вх.Данные.Доход!$E:$E,Вх.Данные.Доход!$F:$F,"&lt;="&amp;$A24,Вх.Данные.Доход!$G:$G,"&gt;="&amp;$A24,Вх.Данные.Доход!$A:$A,РазбивкаДохода!G$1)</f>
        <v>1110000</v>
      </c>
      <c r="H24" s="165">
        <f>SUMIFS(Вх.Данные.Доход!$E:$E,Вх.Данные.Доход!$F:$F,"&lt;="&amp;$A24,Вх.Данные.Доход!$G:$G,"&gt;="&amp;$A24,Вх.Данные.Доход!$A:$A,РазбивкаДохода!H$1)</f>
        <v>1100000</v>
      </c>
      <c r="I24" s="165">
        <f>SUMIFS(Вх.Данные.Доход!$E:$E,Вх.Данные.Доход!$F:$F,"&lt;="&amp;$A24,Вх.Данные.Доход!$G:$G,"&gt;="&amp;$A24,Вх.Данные.Доход!$A:$A,РазбивкаДохода!I$1)</f>
        <v>1050000</v>
      </c>
      <c r="J24" s="204">
        <f>INDEX(Вх.Данные.Ассортимент!$K$57:$L$58,2,MATCH($J$1,Вх.Данные.Ассортимент!$K$57:$L$57,0))</f>
        <v>0.74999999999999989</v>
      </c>
      <c r="K24" s="205">
        <f>INDEX(Вх.Данные.Ассортимент!$Q$57:$R$58,2,MATCH($K$1,Вх.Данные.Ассортимент!$Q$57:$R$57,0))</f>
        <v>0.33333333333333326</v>
      </c>
      <c r="L24">
        <f>INDEX(Вх.Данные.Ассортимент!$D$57:$E$58,2,MATCH($J$1,Вх.Данные.Ассортимент!$K$57:$L$57,0))</f>
        <v>53.896000000000001</v>
      </c>
      <c r="M24">
        <f>INDEX(Вх.Данные.Ассортимент!$O$57:$P$58,2,MATCH($K$1,Вх.Данные.Ассортимент!$Q$57:$R$57,0))</f>
        <v>20.210999999999999</v>
      </c>
    </row>
    <row r="25" spans="1:13" x14ac:dyDescent="0.25">
      <c r="A25" s="67">
        <f t="shared" si="3"/>
        <v>23</v>
      </c>
      <c r="B25" s="67">
        <f t="shared" si="4"/>
        <v>1</v>
      </c>
      <c r="C25" s="67">
        <f t="shared" si="0"/>
        <v>2020</v>
      </c>
      <c r="D25" s="168">
        <f>EOMONTH(Настройки!$I$7,$A25)</f>
        <v>43861</v>
      </c>
      <c r="E25" s="170">
        <f t="shared" si="2"/>
        <v>3740000</v>
      </c>
      <c r="F25" s="165">
        <f>SUMIFS(Вх.Данные.Доход!$E:$E,Вх.Данные.Доход!$F:$F,"&lt;="&amp;$A25,Вх.Данные.Доход!$G:$G,"&gt;="&amp;$A25,Вх.Данные.Доход!$A:$A,РазбивкаДохода!F$1)</f>
        <v>480000</v>
      </c>
      <c r="G25" s="165">
        <f>SUMIFS(Вх.Данные.Доход!$E:$E,Вх.Данные.Доход!$F:$F,"&lt;="&amp;$A25,Вх.Данные.Доход!$G:$G,"&gt;="&amp;$A25,Вх.Данные.Доход!$A:$A,РазбивкаДохода!G$1)</f>
        <v>1110000</v>
      </c>
      <c r="H25" s="165">
        <f>SUMIFS(Вх.Данные.Доход!$E:$E,Вх.Данные.Доход!$F:$F,"&lt;="&amp;$A25,Вх.Данные.Доход!$G:$G,"&gt;="&amp;$A25,Вх.Данные.Доход!$A:$A,РазбивкаДохода!H$1)</f>
        <v>1100000</v>
      </c>
      <c r="I25" s="165">
        <f>SUMIFS(Вх.Данные.Доход!$E:$E,Вх.Данные.Доход!$F:$F,"&lt;="&amp;$A25,Вх.Данные.Доход!$G:$G,"&gt;="&amp;$A25,Вх.Данные.Доход!$A:$A,РазбивкаДохода!I$1)</f>
        <v>1050000</v>
      </c>
      <c r="J25" s="204">
        <f>INDEX(Вх.Данные.Ассортимент!$K$57:$L$58,2,MATCH($J$1,Вх.Данные.Ассортимент!$K$57:$L$57,0))</f>
        <v>0.74999999999999989</v>
      </c>
      <c r="K25" s="205">
        <f>INDEX(Вх.Данные.Ассортимент!$Q$57:$R$58,2,MATCH($K$1,Вх.Данные.Ассортимент!$Q$57:$R$57,0))</f>
        <v>0.33333333333333326</v>
      </c>
      <c r="L25">
        <f>INDEX(Вх.Данные.Ассортимент!$D$57:$E$58,2,MATCH($J$1,Вх.Данные.Ассортимент!$K$57:$L$57,0))</f>
        <v>53.896000000000001</v>
      </c>
      <c r="M25">
        <f>INDEX(Вх.Данные.Ассортимент!$O$57:$P$58,2,MATCH($K$1,Вх.Данные.Ассортимент!$Q$57:$R$57,0))</f>
        <v>20.210999999999999</v>
      </c>
    </row>
    <row r="26" spans="1:13" x14ac:dyDescent="0.25">
      <c r="A26" s="67">
        <f t="shared" si="3"/>
        <v>24</v>
      </c>
      <c r="B26" s="67">
        <f t="shared" si="4"/>
        <v>2</v>
      </c>
      <c r="C26" s="67">
        <f t="shared" si="0"/>
        <v>2020</v>
      </c>
      <c r="D26" s="168">
        <f>EOMONTH(Настройки!$I$7,$A26)</f>
        <v>43890</v>
      </c>
      <c r="E26" s="170">
        <f t="shared" si="2"/>
        <v>3740000</v>
      </c>
      <c r="F26" s="165">
        <f>SUMIFS(Вх.Данные.Доход!$E:$E,Вх.Данные.Доход!$F:$F,"&lt;="&amp;$A26,Вх.Данные.Доход!$G:$G,"&gt;="&amp;$A26,Вх.Данные.Доход!$A:$A,РазбивкаДохода!F$1)</f>
        <v>480000</v>
      </c>
      <c r="G26" s="165">
        <f>SUMIFS(Вх.Данные.Доход!$E:$E,Вх.Данные.Доход!$F:$F,"&lt;="&amp;$A26,Вх.Данные.Доход!$G:$G,"&gt;="&amp;$A26,Вх.Данные.Доход!$A:$A,РазбивкаДохода!G$1)</f>
        <v>1110000</v>
      </c>
      <c r="H26" s="165">
        <f>SUMIFS(Вх.Данные.Доход!$E:$E,Вх.Данные.Доход!$F:$F,"&lt;="&amp;$A26,Вх.Данные.Доход!$G:$G,"&gt;="&amp;$A26,Вх.Данные.Доход!$A:$A,РазбивкаДохода!H$1)</f>
        <v>1100000</v>
      </c>
      <c r="I26" s="165">
        <f>SUMIFS(Вх.Данные.Доход!$E:$E,Вх.Данные.Доход!$F:$F,"&lt;="&amp;$A26,Вх.Данные.Доход!$G:$G,"&gt;="&amp;$A26,Вх.Данные.Доход!$A:$A,РазбивкаДохода!I$1)</f>
        <v>1050000</v>
      </c>
      <c r="J26" s="204">
        <f>INDEX(Вх.Данные.Ассортимент!$K$57:$L$58,2,MATCH($J$1,Вх.Данные.Ассортимент!$K$57:$L$57,0))</f>
        <v>0.74999999999999989</v>
      </c>
      <c r="K26" s="205">
        <f>INDEX(Вх.Данные.Ассортимент!$Q$57:$R$58,2,MATCH($K$1,Вх.Данные.Ассортимент!$Q$57:$R$57,0))</f>
        <v>0.33333333333333326</v>
      </c>
      <c r="L26">
        <f>INDEX(Вх.Данные.Ассортимент!$D$57:$E$58,2,MATCH($J$1,Вх.Данные.Ассортимент!$K$57:$L$57,0))</f>
        <v>53.896000000000001</v>
      </c>
      <c r="M26">
        <f>INDEX(Вх.Данные.Ассортимент!$O$57:$P$58,2,MATCH($K$1,Вх.Данные.Ассортимент!$Q$57:$R$57,0))</f>
        <v>20.210999999999999</v>
      </c>
    </row>
    <row r="27" spans="1:13" x14ac:dyDescent="0.25">
      <c r="A27" s="67">
        <f t="shared" si="3"/>
        <v>25</v>
      </c>
      <c r="B27" s="67">
        <f t="shared" si="4"/>
        <v>3</v>
      </c>
      <c r="C27" s="67">
        <f t="shared" si="0"/>
        <v>2020</v>
      </c>
      <c r="D27" s="168">
        <f>EOMONTH(Настройки!$I$7,$A27)</f>
        <v>43921</v>
      </c>
      <c r="E27" s="170">
        <f t="shared" si="2"/>
        <v>3740000</v>
      </c>
      <c r="F27" s="165">
        <f>SUMIFS(Вх.Данные.Доход!$E:$E,Вх.Данные.Доход!$F:$F,"&lt;="&amp;$A27,Вх.Данные.Доход!$G:$G,"&gt;="&amp;$A27,Вх.Данные.Доход!$A:$A,РазбивкаДохода!F$1)</f>
        <v>480000</v>
      </c>
      <c r="G27" s="165">
        <f>SUMIFS(Вх.Данные.Доход!$E:$E,Вх.Данные.Доход!$F:$F,"&lt;="&amp;$A27,Вх.Данные.Доход!$G:$G,"&gt;="&amp;$A27,Вх.Данные.Доход!$A:$A,РазбивкаДохода!G$1)</f>
        <v>1110000</v>
      </c>
      <c r="H27" s="165">
        <f>SUMIFS(Вх.Данные.Доход!$E:$E,Вх.Данные.Доход!$F:$F,"&lt;="&amp;$A27,Вх.Данные.Доход!$G:$G,"&gt;="&amp;$A27,Вх.Данные.Доход!$A:$A,РазбивкаДохода!H$1)</f>
        <v>1100000</v>
      </c>
      <c r="I27" s="165">
        <f>SUMIFS(Вх.Данные.Доход!$E:$E,Вх.Данные.Доход!$F:$F,"&lt;="&amp;$A27,Вх.Данные.Доход!$G:$G,"&gt;="&amp;$A27,Вх.Данные.Доход!$A:$A,РазбивкаДохода!I$1)</f>
        <v>1050000</v>
      </c>
      <c r="J27" s="204">
        <f>INDEX(Вх.Данные.Ассортимент!$K$57:$L$58,2,MATCH($J$1,Вх.Данные.Ассортимент!$K$57:$L$57,0))</f>
        <v>0.74999999999999989</v>
      </c>
      <c r="K27" s="205">
        <f>INDEX(Вх.Данные.Ассортимент!$Q$57:$R$58,2,MATCH($K$1,Вх.Данные.Ассортимент!$Q$57:$R$57,0))</f>
        <v>0.33333333333333326</v>
      </c>
      <c r="L27">
        <f>INDEX(Вх.Данные.Ассортимент!$D$57:$E$58,2,MATCH($J$1,Вх.Данные.Ассортимент!$K$57:$L$57,0))</f>
        <v>53.896000000000001</v>
      </c>
      <c r="M27">
        <f>INDEX(Вх.Данные.Ассортимент!$O$57:$P$58,2,MATCH($K$1,Вх.Данные.Ассортимент!$Q$57:$R$57,0))</f>
        <v>20.210999999999999</v>
      </c>
    </row>
    <row r="28" spans="1:13" x14ac:dyDescent="0.25">
      <c r="A28" s="67">
        <f t="shared" si="3"/>
        <v>26</v>
      </c>
      <c r="B28" s="67">
        <f t="shared" si="4"/>
        <v>4</v>
      </c>
      <c r="C28" s="67">
        <f t="shared" si="0"/>
        <v>2020</v>
      </c>
      <c r="D28" s="168">
        <f>EOMONTH(Настройки!$I$7,$A28)</f>
        <v>43951</v>
      </c>
      <c r="E28" s="170">
        <f t="shared" si="2"/>
        <v>3740000</v>
      </c>
      <c r="F28" s="165">
        <f>SUMIFS(Вх.Данные.Доход!$E:$E,Вх.Данные.Доход!$F:$F,"&lt;="&amp;$A28,Вх.Данные.Доход!$G:$G,"&gt;="&amp;$A28,Вх.Данные.Доход!$A:$A,РазбивкаДохода!F$1)</f>
        <v>480000</v>
      </c>
      <c r="G28" s="165">
        <f>SUMIFS(Вх.Данные.Доход!$E:$E,Вх.Данные.Доход!$F:$F,"&lt;="&amp;$A28,Вх.Данные.Доход!$G:$G,"&gt;="&amp;$A28,Вх.Данные.Доход!$A:$A,РазбивкаДохода!G$1)</f>
        <v>1110000</v>
      </c>
      <c r="H28" s="165">
        <f>SUMIFS(Вх.Данные.Доход!$E:$E,Вх.Данные.Доход!$F:$F,"&lt;="&amp;$A28,Вх.Данные.Доход!$G:$G,"&gt;="&amp;$A28,Вх.Данные.Доход!$A:$A,РазбивкаДохода!H$1)</f>
        <v>1100000</v>
      </c>
      <c r="I28" s="165">
        <f>SUMIFS(Вх.Данные.Доход!$E:$E,Вх.Данные.Доход!$F:$F,"&lt;="&amp;$A28,Вх.Данные.Доход!$G:$G,"&gt;="&amp;$A28,Вх.Данные.Доход!$A:$A,РазбивкаДохода!I$1)</f>
        <v>1050000</v>
      </c>
      <c r="J28" s="204">
        <f>INDEX(Вх.Данные.Ассортимент!$K$57:$L$58,2,MATCH($J$1,Вх.Данные.Ассортимент!$K$57:$L$57,0))</f>
        <v>0.74999999999999989</v>
      </c>
      <c r="K28" s="205">
        <f>INDEX(Вх.Данные.Ассортимент!$Q$57:$R$58,2,MATCH($K$1,Вх.Данные.Ассортимент!$Q$57:$R$57,0))</f>
        <v>0.33333333333333326</v>
      </c>
      <c r="L28">
        <f>INDEX(Вх.Данные.Ассортимент!$D$57:$E$58,2,MATCH($J$1,Вх.Данные.Ассортимент!$K$57:$L$57,0))</f>
        <v>53.896000000000001</v>
      </c>
      <c r="M28">
        <f>INDEX(Вх.Данные.Ассортимент!$O$57:$P$58,2,MATCH($K$1,Вх.Данные.Ассортимент!$Q$57:$R$57,0))</f>
        <v>20.210999999999999</v>
      </c>
    </row>
    <row r="29" spans="1:13" x14ac:dyDescent="0.25">
      <c r="A29" s="67">
        <f t="shared" si="3"/>
        <v>27</v>
      </c>
      <c r="B29" s="67">
        <f t="shared" si="4"/>
        <v>5</v>
      </c>
      <c r="C29" s="67">
        <f t="shared" si="0"/>
        <v>2020</v>
      </c>
      <c r="D29" s="168">
        <f>EOMONTH(Настройки!$I$7,$A29)</f>
        <v>43982</v>
      </c>
      <c r="E29" s="170">
        <f t="shared" si="2"/>
        <v>3740000</v>
      </c>
      <c r="F29" s="165">
        <f>SUMIFS(Вх.Данные.Доход!$E:$E,Вх.Данные.Доход!$F:$F,"&lt;="&amp;$A29,Вх.Данные.Доход!$G:$G,"&gt;="&amp;$A29,Вх.Данные.Доход!$A:$A,РазбивкаДохода!F$1)</f>
        <v>480000</v>
      </c>
      <c r="G29" s="165">
        <f>SUMIFS(Вх.Данные.Доход!$E:$E,Вх.Данные.Доход!$F:$F,"&lt;="&amp;$A29,Вх.Данные.Доход!$G:$G,"&gt;="&amp;$A29,Вх.Данные.Доход!$A:$A,РазбивкаДохода!G$1)</f>
        <v>1110000</v>
      </c>
      <c r="H29" s="165">
        <f>SUMIFS(Вх.Данные.Доход!$E:$E,Вх.Данные.Доход!$F:$F,"&lt;="&amp;$A29,Вх.Данные.Доход!$G:$G,"&gt;="&amp;$A29,Вх.Данные.Доход!$A:$A,РазбивкаДохода!H$1)</f>
        <v>1100000</v>
      </c>
      <c r="I29" s="165">
        <f>SUMIFS(Вх.Данные.Доход!$E:$E,Вх.Данные.Доход!$F:$F,"&lt;="&amp;$A29,Вх.Данные.Доход!$G:$G,"&gt;="&amp;$A29,Вх.Данные.Доход!$A:$A,РазбивкаДохода!I$1)</f>
        <v>1050000</v>
      </c>
      <c r="J29" s="204">
        <f>INDEX(Вх.Данные.Ассортимент!$K$57:$L$58,2,MATCH($J$1,Вх.Данные.Ассортимент!$K$57:$L$57,0))</f>
        <v>0.74999999999999989</v>
      </c>
      <c r="K29" s="205">
        <f>INDEX(Вх.Данные.Ассортимент!$Q$57:$R$58,2,MATCH($K$1,Вх.Данные.Ассортимент!$Q$57:$R$57,0))</f>
        <v>0.33333333333333326</v>
      </c>
      <c r="L29">
        <f>INDEX(Вх.Данные.Ассортимент!$D$57:$E$58,2,MATCH($J$1,Вх.Данные.Ассортимент!$K$57:$L$57,0))</f>
        <v>53.896000000000001</v>
      </c>
      <c r="M29">
        <f>INDEX(Вх.Данные.Ассортимент!$O$57:$P$58,2,MATCH($K$1,Вх.Данные.Ассортимент!$Q$57:$R$57,0))</f>
        <v>20.210999999999999</v>
      </c>
    </row>
    <row r="30" spans="1:13" x14ac:dyDescent="0.25">
      <c r="A30" s="67">
        <f t="shared" si="3"/>
        <v>28</v>
      </c>
      <c r="B30" s="67">
        <f t="shared" si="4"/>
        <v>6</v>
      </c>
      <c r="C30" s="67">
        <f t="shared" si="0"/>
        <v>2020</v>
      </c>
      <c r="D30" s="168">
        <f>EOMONTH(Настройки!$I$7,$A30)</f>
        <v>44012</v>
      </c>
      <c r="E30" s="170">
        <f t="shared" si="2"/>
        <v>3740000</v>
      </c>
      <c r="F30" s="165">
        <f>SUMIFS(Вх.Данные.Доход!$E:$E,Вх.Данные.Доход!$F:$F,"&lt;="&amp;$A30,Вх.Данные.Доход!$G:$G,"&gt;="&amp;$A30,Вх.Данные.Доход!$A:$A,РазбивкаДохода!F$1)</f>
        <v>480000</v>
      </c>
      <c r="G30" s="165">
        <f>SUMIFS(Вх.Данные.Доход!$E:$E,Вх.Данные.Доход!$F:$F,"&lt;="&amp;$A30,Вх.Данные.Доход!$G:$G,"&gt;="&amp;$A30,Вх.Данные.Доход!$A:$A,РазбивкаДохода!G$1)</f>
        <v>1110000</v>
      </c>
      <c r="H30" s="165">
        <f>SUMIFS(Вх.Данные.Доход!$E:$E,Вх.Данные.Доход!$F:$F,"&lt;="&amp;$A30,Вх.Данные.Доход!$G:$G,"&gt;="&amp;$A30,Вх.Данные.Доход!$A:$A,РазбивкаДохода!H$1)</f>
        <v>1100000</v>
      </c>
      <c r="I30" s="165">
        <f>SUMIFS(Вх.Данные.Доход!$E:$E,Вх.Данные.Доход!$F:$F,"&lt;="&amp;$A30,Вх.Данные.Доход!$G:$G,"&gt;="&amp;$A30,Вх.Данные.Доход!$A:$A,РазбивкаДохода!I$1)</f>
        <v>1050000</v>
      </c>
      <c r="J30" s="204">
        <f>INDEX(Вх.Данные.Ассортимент!$K$57:$L$58,2,MATCH($J$1,Вх.Данные.Ассортимент!$K$57:$L$57,0))</f>
        <v>0.74999999999999989</v>
      </c>
      <c r="K30" s="205">
        <f>INDEX(Вх.Данные.Ассортимент!$Q$57:$R$58,2,MATCH($K$1,Вх.Данные.Ассортимент!$Q$57:$R$57,0))</f>
        <v>0.33333333333333326</v>
      </c>
      <c r="L30">
        <f>INDEX(Вх.Данные.Ассортимент!$D$57:$E$58,2,MATCH($J$1,Вх.Данные.Ассортимент!$K$57:$L$57,0))</f>
        <v>53.896000000000001</v>
      </c>
      <c r="M30">
        <f>INDEX(Вх.Данные.Ассортимент!$O$57:$P$58,2,MATCH($K$1,Вх.Данные.Ассортимент!$Q$57:$R$57,0))</f>
        <v>20.210999999999999</v>
      </c>
    </row>
    <row r="31" spans="1:13" x14ac:dyDescent="0.25">
      <c r="A31" s="67">
        <f t="shared" si="3"/>
        <v>29</v>
      </c>
      <c r="B31" s="67">
        <f t="shared" si="4"/>
        <v>7</v>
      </c>
      <c r="C31" s="67">
        <f t="shared" si="0"/>
        <v>2020</v>
      </c>
      <c r="D31" s="168">
        <f>EOMONTH(Настройки!$I$7,$A31)</f>
        <v>44043</v>
      </c>
      <c r="E31" s="170">
        <f t="shared" si="2"/>
        <v>3740000</v>
      </c>
      <c r="F31" s="165">
        <f>SUMIFS(Вх.Данные.Доход!$E:$E,Вх.Данные.Доход!$F:$F,"&lt;="&amp;$A31,Вх.Данные.Доход!$G:$G,"&gt;="&amp;$A31,Вх.Данные.Доход!$A:$A,РазбивкаДохода!F$1)</f>
        <v>480000</v>
      </c>
      <c r="G31" s="165">
        <f>SUMIFS(Вх.Данные.Доход!$E:$E,Вх.Данные.Доход!$F:$F,"&lt;="&amp;$A31,Вх.Данные.Доход!$G:$G,"&gt;="&amp;$A31,Вх.Данные.Доход!$A:$A,РазбивкаДохода!G$1)</f>
        <v>1110000</v>
      </c>
      <c r="H31" s="165">
        <f>SUMIFS(Вх.Данные.Доход!$E:$E,Вх.Данные.Доход!$F:$F,"&lt;="&amp;$A31,Вх.Данные.Доход!$G:$G,"&gt;="&amp;$A31,Вх.Данные.Доход!$A:$A,РазбивкаДохода!H$1)</f>
        <v>1100000</v>
      </c>
      <c r="I31" s="165">
        <f>SUMIFS(Вх.Данные.Доход!$E:$E,Вх.Данные.Доход!$F:$F,"&lt;="&amp;$A31,Вх.Данные.Доход!$G:$G,"&gt;="&amp;$A31,Вх.Данные.Доход!$A:$A,РазбивкаДохода!I$1)</f>
        <v>1050000</v>
      </c>
      <c r="J31" s="204">
        <f>INDEX(Вх.Данные.Ассортимент!$K$57:$L$58,2,MATCH($J$1,Вх.Данные.Ассортимент!$K$57:$L$57,0))</f>
        <v>0.74999999999999989</v>
      </c>
      <c r="K31" s="205">
        <f>INDEX(Вх.Данные.Ассортимент!$Q$57:$R$58,2,MATCH($K$1,Вх.Данные.Ассортимент!$Q$57:$R$57,0))</f>
        <v>0.33333333333333326</v>
      </c>
      <c r="L31">
        <f>INDEX(Вх.Данные.Ассортимент!$D$57:$E$58,2,MATCH($J$1,Вх.Данные.Ассортимент!$K$57:$L$57,0))</f>
        <v>53.896000000000001</v>
      </c>
      <c r="M31">
        <f>INDEX(Вх.Данные.Ассортимент!$O$57:$P$58,2,MATCH($K$1,Вх.Данные.Ассортимент!$Q$57:$R$57,0))</f>
        <v>20.210999999999999</v>
      </c>
    </row>
    <row r="32" spans="1:13" x14ac:dyDescent="0.25">
      <c r="A32" s="67">
        <f t="shared" si="3"/>
        <v>30</v>
      </c>
      <c r="B32" s="67">
        <f t="shared" si="4"/>
        <v>8</v>
      </c>
      <c r="C32" s="67">
        <f t="shared" si="0"/>
        <v>2020</v>
      </c>
      <c r="D32" s="168">
        <f>EOMONTH(Настройки!$I$7,$A32)</f>
        <v>44074</v>
      </c>
      <c r="E32" s="170">
        <f t="shared" si="2"/>
        <v>3740000</v>
      </c>
      <c r="F32" s="165">
        <f>SUMIFS(Вх.Данные.Доход!$E:$E,Вх.Данные.Доход!$F:$F,"&lt;="&amp;$A32,Вх.Данные.Доход!$G:$G,"&gt;="&amp;$A32,Вх.Данные.Доход!$A:$A,РазбивкаДохода!F$1)</f>
        <v>480000</v>
      </c>
      <c r="G32" s="165">
        <f>SUMIFS(Вх.Данные.Доход!$E:$E,Вх.Данные.Доход!$F:$F,"&lt;="&amp;$A32,Вх.Данные.Доход!$G:$G,"&gt;="&amp;$A32,Вх.Данные.Доход!$A:$A,РазбивкаДохода!G$1)</f>
        <v>1110000</v>
      </c>
      <c r="H32" s="165">
        <f>SUMIFS(Вх.Данные.Доход!$E:$E,Вх.Данные.Доход!$F:$F,"&lt;="&amp;$A32,Вх.Данные.Доход!$G:$G,"&gt;="&amp;$A32,Вх.Данные.Доход!$A:$A,РазбивкаДохода!H$1)</f>
        <v>1100000</v>
      </c>
      <c r="I32" s="165">
        <f>SUMIFS(Вх.Данные.Доход!$E:$E,Вх.Данные.Доход!$F:$F,"&lt;="&amp;$A32,Вх.Данные.Доход!$G:$G,"&gt;="&amp;$A32,Вх.Данные.Доход!$A:$A,РазбивкаДохода!I$1)</f>
        <v>1050000</v>
      </c>
      <c r="J32" s="204">
        <f>INDEX(Вх.Данные.Ассортимент!$K$57:$L$58,2,MATCH($J$1,Вх.Данные.Ассортимент!$K$57:$L$57,0))</f>
        <v>0.74999999999999989</v>
      </c>
      <c r="K32" s="205">
        <f>INDEX(Вх.Данные.Ассортимент!$Q$57:$R$58,2,MATCH($K$1,Вх.Данные.Ассортимент!$Q$57:$R$57,0))</f>
        <v>0.33333333333333326</v>
      </c>
      <c r="L32">
        <f>INDEX(Вх.Данные.Ассортимент!$D$57:$E$58,2,MATCH($J$1,Вх.Данные.Ассортимент!$K$57:$L$57,0))</f>
        <v>53.896000000000001</v>
      </c>
      <c r="M32">
        <f>INDEX(Вх.Данные.Ассортимент!$O$57:$P$58,2,MATCH($K$1,Вх.Данные.Ассортимент!$Q$57:$R$57,0))</f>
        <v>20.210999999999999</v>
      </c>
    </row>
    <row r="33" spans="1:13" x14ac:dyDescent="0.25">
      <c r="A33" s="67">
        <f t="shared" si="3"/>
        <v>31</v>
      </c>
      <c r="B33" s="67">
        <f t="shared" si="4"/>
        <v>9</v>
      </c>
      <c r="C33" s="67">
        <f t="shared" si="0"/>
        <v>2020</v>
      </c>
      <c r="D33" s="168">
        <f>EOMONTH(Настройки!$I$7,$A33)</f>
        <v>44104</v>
      </c>
      <c r="E33" s="170">
        <f t="shared" si="2"/>
        <v>3740000</v>
      </c>
      <c r="F33" s="165">
        <f>SUMIFS(Вх.Данные.Доход!$E:$E,Вх.Данные.Доход!$F:$F,"&lt;="&amp;$A33,Вх.Данные.Доход!$G:$G,"&gt;="&amp;$A33,Вх.Данные.Доход!$A:$A,РазбивкаДохода!F$1)</f>
        <v>480000</v>
      </c>
      <c r="G33" s="165">
        <f>SUMIFS(Вх.Данные.Доход!$E:$E,Вх.Данные.Доход!$F:$F,"&lt;="&amp;$A33,Вх.Данные.Доход!$G:$G,"&gt;="&amp;$A33,Вх.Данные.Доход!$A:$A,РазбивкаДохода!G$1)</f>
        <v>1110000</v>
      </c>
      <c r="H33" s="165">
        <f>SUMIFS(Вх.Данные.Доход!$E:$E,Вх.Данные.Доход!$F:$F,"&lt;="&amp;$A33,Вх.Данные.Доход!$G:$G,"&gt;="&amp;$A33,Вх.Данные.Доход!$A:$A,РазбивкаДохода!H$1)</f>
        <v>1100000</v>
      </c>
      <c r="I33" s="165">
        <f>SUMIFS(Вх.Данные.Доход!$E:$E,Вх.Данные.Доход!$F:$F,"&lt;="&amp;$A33,Вх.Данные.Доход!$G:$G,"&gt;="&amp;$A33,Вх.Данные.Доход!$A:$A,РазбивкаДохода!I$1)</f>
        <v>1050000</v>
      </c>
      <c r="J33" s="204">
        <f>INDEX(Вх.Данные.Ассортимент!$K$57:$L$58,2,MATCH($J$1,Вх.Данные.Ассортимент!$K$57:$L$57,0))</f>
        <v>0.74999999999999989</v>
      </c>
      <c r="K33" s="205">
        <f>INDEX(Вх.Данные.Ассортимент!$Q$57:$R$58,2,MATCH($K$1,Вх.Данные.Ассортимент!$Q$57:$R$57,0))</f>
        <v>0.33333333333333326</v>
      </c>
      <c r="L33">
        <f>INDEX(Вх.Данные.Ассортимент!$D$57:$E$58,2,MATCH($J$1,Вх.Данные.Ассортимент!$K$57:$L$57,0))</f>
        <v>53.896000000000001</v>
      </c>
      <c r="M33">
        <f>INDEX(Вх.Данные.Ассортимент!$O$57:$P$58,2,MATCH($K$1,Вх.Данные.Ассортимент!$Q$57:$R$57,0))</f>
        <v>20.210999999999999</v>
      </c>
    </row>
    <row r="34" spans="1:13" x14ac:dyDescent="0.25">
      <c r="A34" s="67">
        <f t="shared" si="3"/>
        <v>32</v>
      </c>
      <c r="B34" s="67">
        <f t="shared" si="4"/>
        <v>10</v>
      </c>
      <c r="C34" s="67">
        <f t="shared" ref="C34:C62" si="5">YEAR(D34)</f>
        <v>2020</v>
      </c>
      <c r="D34" s="168">
        <f>EOMONTH(Настройки!$I$7,$A34)</f>
        <v>44135</v>
      </c>
      <c r="E34" s="170">
        <f t="shared" si="2"/>
        <v>3740000</v>
      </c>
      <c r="F34" s="165">
        <f>SUMIFS(Вх.Данные.Доход!$E:$E,Вх.Данные.Доход!$F:$F,"&lt;="&amp;$A34,Вх.Данные.Доход!$G:$G,"&gt;="&amp;$A34,Вх.Данные.Доход!$A:$A,РазбивкаДохода!F$1)</f>
        <v>480000</v>
      </c>
      <c r="G34" s="165">
        <f>SUMIFS(Вх.Данные.Доход!$E:$E,Вх.Данные.Доход!$F:$F,"&lt;="&amp;$A34,Вх.Данные.Доход!$G:$G,"&gt;="&amp;$A34,Вх.Данные.Доход!$A:$A,РазбивкаДохода!G$1)</f>
        <v>1110000</v>
      </c>
      <c r="H34" s="165">
        <f>SUMIFS(Вх.Данные.Доход!$E:$E,Вх.Данные.Доход!$F:$F,"&lt;="&amp;$A34,Вх.Данные.Доход!$G:$G,"&gt;="&amp;$A34,Вх.Данные.Доход!$A:$A,РазбивкаДохода!H$1)</f>
        <v>1100000</v>
      </c>
      <c r="I34" s="165">
        <f>SUMIFS(Вх.Данные.Доход!$E:$E,Вх.Данные.Доход!$F:$F,"&lt;="&amp;$A34,Вх.Данные.Доход!$G:$G,"&gt;="&amp;$A34,Вх.Данные.Доход!$A:$A,РазбивкаДохода!I$1)</f>
        <v>1050000</v>
      </c>
      <c r="J34" s="204">
        <f>INDEX(Вх.Данные.Ассортимент!$K$57:$L$58,2,MATCH($J$1,Вх.Данные.Ассортимент!$K$57:$L$57,0))</f>
        <v>0.74999999999999989</v>
      </c>
      <c r="K34" s="205">
        <f>INDEX(Вх.Данные.Ассортимент!$Q$57:$R$58,2,MATCH($K$1,Вх.Данные.Ассортимент!$Q$57:$R$57,0))</f>
        <v>0.33333333333333326</v>
      </c>
      <c r="L34">
        <f>INDEX(Вх.Данные.Ассортимент!$D$57:$E$58,2,MATCH($J$1,Вх.Данные.Ассортимент!$K$57:$L$57,0))</f>
        <v>53.896000000000001</v>
      </c>
      <c r="M34">
        <f>INDEX(Вх.Данные.Ассортимент!$O$57:$P$58,2,MATCH($K$1,Вх.Данные.Ассортимент!$Q$57:$R$57,0))</f>
        <v>20.210999999999999</v>
      </c>
    </row>
    <row r="35" spans="1:13" x14ac:dyDescent="0.25">
      <c r="A35" s="67">
        <f t="shared" si="3"/>
        <v>33</v>
      </c>
      <c r="B35" s="67">
        <f t="shared" si="4"/>
        <v>11</v>
      </c>
      <c r="C35" s="67">
        <f t="shared" si="5"/>
        <v>2020</v>
      </c>
      <c r="D35" s="168">
        <f>EOMONTH(Настройки!$I$7,$A35)</f>
        <v>44165</v>
      </c>
      <c r="E35" s="170">
        <f t="shared" si="2"/>
        <v>3740000</v>
      </c>
      <c r="F35" s="165">
        <f>SUMIFS(Вх.Данные.Доход!$E:$E,Вх.Данные.Доход!$F:$F,"&lt;="&amp;$A35,Вх.Данные.Доход!$G:$G,"&gt;="&amp;$A35,Вх.Данные.Доход!$A:$A,РазбивкаДохода!F$1)</f>
        <v>480000</v>
      </c>
      <c r="G35" s="165">
        <f>SUMIFS(Вх.Данные.Доход!$E:$E,Вх.Данные.Доход!$F:$F,"&lt;="&amp;$A35,Вх.Данные.Доход!$G:$G,"&gt;="&amp;$A35,Вх.Данные.Доход!$A:$A,РазбивкаДохода!G$1)</f>
        <v>1110000</v>
      </c>
      <c r="H35" s="165">
        <f>SUMIFS(Вх.Данные.Доход!$E:$E,Вх.Данные.Доход!$F:$F,"&lt;="&amp;$A35,Вх.Данные.Доход!$G:$G,"&gt;="&amp;$A35,Вх.Данные.Доход!$A:$A,РазбивкаДохода!H$1)</f>
        <v>1100000</v>
      </c>
      <c r="I35" s="165">
        <f>SUMIFS(Вх.Данные.Доход!$E:$E,Вх.Данные.Доход!$F:$F,"&lt;="&amp;$A35,Вх.Данные.Доход!$G:$G,"&gt;="&amp;$A35,Вх.Данные.Доход!$A:$A,РазбивкаДохода!I$1)</f>
        <v>1050000</v>
      </c>
      <c r="J35" s="204">
        <f>INDEX(Вх.Данные.Ассортимент!$K$57:$L$58,2,MATCH($J$1,Вх.Данные.Ассортимент!$K$57:$L$57,0))</f>
        <v>0.74999999999999989</v>
      </c>
      <c r="K35" s="205">
        <f>INDEX(Вх.Данные.Ассортимент!$Q$57:$R$58,2,MATCH($K$1,Вх.Данные.Ассортимент!$Q$57:$R$57,0))</f>
        <v>0.33333333333333326</v>
      </c>
      <c r="L35">
        <f>INDEX(Вх.Данные.Ассортимент!$D$57:$E$58,2,MATCH($J$1,Вх.Данные.Ассортимент!$K$57:$L$57,0))</f>
        <v>53.896000000000001</v>
      </c>
      <c r="M35">
        <f>INDEX(Вх.Данные.Ассортимент!$O$57:$P$58,2,MATCH($K$1,Вх.Данные.Ассортимент!$Q$57:$R$57,0))</f>
        <v>20.210999999999999</v>
      </c>
    </row>
    <row r="36" spans="1:13" x14ac:dyDescent="0.25">
      <c r="A36" s="67">
        <f t="shared" si="3"/>
        <v>34</v>
      </c>
      <c r="B36" s="67">
        <f t="shared" si="4"/>
        <v>12</v>
      </c>
      <c r="C36" s="67">
        <f t="shared" si="5"/>
        <v>2020</v>
      </c>
      <c r="D36" s="168">
        <f>EOMONTH(Настройки!$I$7,$A36)</f>
        <v>44196</v>
      </c>
      <c r="E36" s="170">
        <f t="shared" si="2"/>
        <v>3740000</v>
      </c>
      <c r="F36" s="165">
        <f>SUMIFS(Вх.Данные.Доход!$E:$E,Вх.Данные.Доход!$F:$F,"&lt;="&amp;$A36,Вх.Данные.Доход!$G:$G,"&gt;="&amp;$A36,Вх.Данные.Доход!$A:$A,РазбивкаДохода!F$1)</f>
        <v>480000</v>
      </c>
      <c r="G36" s="165">
        <f>SUMIFS(Вх.Данные.Доход!$E:$E,Вх.Данные.Доход!$F:$F,"&lt;="&amp;$A36,Вх.Данные.Доход!$G:$G,"&gt;="&amp;$A36,Вх.Данные.Доход!$A:$A,РазбивкаДохода!G$1)</f>
        <v>1110000</v>
      </c>
      <c r="H36" s="165">
        <f>SUMIFS(Вх.Данные.Доход!$E:$E,Вх.Данные.Доход!$F:$F,"&lt;="&amp;$A36,Вх.Данные.Доход!$G:$G,"&gt;="&amp;$A36,Вх.Данные.Доход!$A:$A,РазбивкаДохода!H$1)</f>
        <v>1100000</v>
      </c>
      <c r="I36" s="165">
        <f>SUMIFS(Вх.Данные.Доход!$E:$E,Вх.Данные.Доход!$F:$F,"&lt;="&amp;$A36,Вх.Данные.Доход!$G:$G,"&gt;="&amp;$A36,Вх.Данные.Доход!$A:$A,РазбивкаДохода!I$1)</f>
        <v>1050000</v>
      </c>
      <c r="J36" s="204">
        <f>INDEX(Вх.Данные.Ассортимент!$K$57:$L$58,2,MATCH($J$1,Вх.Данные.Ассортимент!$K$57:$L$57,0))</f>
        <v>0.74999999999999989</v>
      </c>
      <c r="K36" s="205">
        <f>INDEX(Вх.Данные.Ассортимент!$Q$57:$R$58,2,MATCH($K$1,Вх.Данные.Ассортимент!$Q$57:$R$57,0))</f>
        <v>0.33333333333333326</v>
      </c>
      <c r="L36">
        <f>INDEX(Вх.Данные.Ассортимент!$D$57:$E$58,2,MATCH($J$1,Вх.Данные.Ассортимент!$K$57:$L$57,0))</f>
        <v>53.896000000000001</v>
      </c>
      <c r="M36">
        <f>INDEX(Вх.Данные.Ассортимент!$O$57:$P$58,2,MATCH($K$1,Вх.Данные.Ассортимент!$Q$57:$R$57,0))</f>
        <v>20.210999999999999</v>
      </c>
    </row>
    <row r="37" spans="1:13" x14ac:dyDescent="0.25">
      <c r="A37" s="67">
        <f t="shared" si="3"/>
        <v>35</v>
      </c>
      <c r="B37" s="67">
        <f t="shared" si="4"/>
        <v>1</v>
      </c>
      <c r="C37" s="67">
        <f t="shared" si="5"/>
        <v>2021</v>
      </c>
      <c r="D37" s="168">
        <f>EOMONTH(Настройки!$I$7,$A37)</f>
        <v>44227</v>
      </c>
      <c r="E37" s="170">
        <f t="shared" si="2"/>
        <v>3740000</v>
      </c>
      <c r="F37" s="165">
        <f>SUMIFS(Вх.Данные.Доход!$E:$E,Вх.Данные.Доход!$F:$F,"&lt;="&amp;$A37,Вх.Данные.Доход!$G:$G,"&gt;="&amp;$A37,Вх.Данные.Доход!$A:$A,РазбивкаДохода!F$1)</f>
        <v>480000</v>
      </c>
      <c r="G37" s="165">
        <f>SUMIFS(Вх.Данные.Доход!$E:$E,Вх.Данные.Доход!$F:$F,"&lt;="&amp;$A37,Вх.Данные.Доход!$G:$G,"&gt;="&amp;$A37,Вх.Данные.Доход!$A:$A,РазбивкаДохода!G$1)</f>
        <v>1110000</v>
      </c>
      <c r="H37" s="165">
        <f>SUMIFS(Вх.Данные.Доход!$E:$E,Вх.Данные.Доход!$F:$F,"&lt;="&amp;$A37,Вх.Данные.Доход!$G:$G,"&gt;="&amp;$A37,Вх.Данные.Доход!$A:$A,РазбивкаДохода!H$1)</f>
        <v>1100000</v>
      </c>
      <c r="I37" s="165">
        <f>SUMIFS(Вх.Данные.Доход!$E:$E,Вх.Данные.Доход!$F:$F,"&lt;="&amp;$A37,Вх.Данные.Доход!$G:$G,"&gt;="&amp;$A37,Вх.Данные.Доход!$A:$A,РазбивкаДохода!I$1)</f>
        <v>1050000</v>
      </c>
      <c r="J37" s="204">
        <f>INDEX(Вх.Данные.Ассортимент!$K$57:$L$58,2,MATCH($J$1,Вх.Данные.Ассортимент!$K$57:$L$57,0))</f>
        <v>0.74999999999999989</v>
      </c>
      <c r="K37" s="205">
        <f>INDEX(Вх.Данные.Ассортимент!$Q$57:$R$58,2,MATCH($K$1,Вх.Данные.Ассортимент!$Q$57:$R$57,0))</f>
        <v>0.33333333333333326</v>
      </c>
      <c r="L37">
        <f>INDEX(Вх.Данные.Ассортимент!$D$57:$E$58,2,MATCH($J$1,Вх.Данные.Ассортимент!$K$57:$L$57,0))</f>
        <v>53.896000000000001</v>
      </c>
      <c r="M37">
        <f>INDEX(Вх.Данные.Ассортимент!$O$57:$P$58,2,MATCH($K$1,Вх.Данные.Ассортимент!$Q$57:$R$57,0))</f>
        <v>20.210999999999999</v>
      </c>
    </row>
    <row r="38" spans="1:13" x14ac:dyDescent="0.25">
      <c r="A38" s="67">
        <f t="shared" si="3"/>
        <v>36</v>
      </c>
      <c r="B38" s="67">
        <f t="shared" si="4"/>
        <v>2</v>
      </c>
      <c r="C38" s="67">
        <f t="shared" si="5"/>
        <v>2021</v>
      </c>
      <c r="D38" s="168">
        <f>EOMONTH(Настройки!$I$7,$A38)</f>
        <v>44255</v>
      </c>
      <c r="E38" s="170">
        <f t="shared" si="2"/>
        <v>3740000</v>
      </c>
      <c r="F38" s="165">
        <f>SUMIFS(Вх.Данные.Доход!$E:$E,Вх.Данные.Доход!$F:$F,"&lt;="&amp;$A38,Вх.Данные.Доход!$G:$G,"&gt;="&amp;$A38,Вх.Данные.Доход!$A:$A,РазбивкаДохода!F$1)</f>
        <v>480000</v>
      </c>
      <c r="G38" s="165">
        <f>SUMIFS(Вх.Данные.Доход!$E:$E,Вх.Данные.Доход!$F:$F,"&lt;="&amp;$A38,Вх.Данные.Доход!$G:$G,"&gt;="&amp;$A38,Вх.Данные.Доход!$A:$A,РазбивкаДохода!G$1)</f>
        <v>1110000</v>
      </c>
      <c r="H38" s="165">
        <f>SUMIFS(Вх.Данные.Доход!$E:$E,Вх.Данные.Доход!$F:$F,"&lt;="&amp;$A38,Вх.Данные.Доход!$G:$G,"&gt;="&amp;$A38,Вх.Данные.Доход!$A:$A,РазбивкаДохода!H$1)</f>
        <v>1100000</v>
      </c>
      <c r="I38" s="165">
        <f>SUMIFS(Вх.Данные.Доход!$E:$E,Вх.Данные.Доход!$F:$F,"&lt;="&amp;$A38,Вх.Данные.Доход!$G:$G,"&gt;="&amp;$A38,Вх.Данные.Доход!$A:$A,РазбивкаДохода!I$1)</f>
        <v>1050000</v>
      </c>
      <c r="J38" s="204">
        <f>INDEX(Вх.Данные.Ассортимент!$K$57:$L$58,2,MATCH($J$1,Вх.Данные.Ассортимент!$K$57:$L$57,0))</f>
        <v>0.74999999999999989</v>
      </c>
      <c r="K38" s="205">
        <f>INDEX(Вх.Данные.Ассортимент!$Q$57:$R$58,2,MATCH($K$1,Вх.Данные.Ассортимент!$Q$57:$R$57,0))</f>
        <v>0.33333333333333326</v>
      </c>
      <c r="L38">
        <f>INDEX(Вх.Данные.Ассортимент!$D$57:$E$58,2,MATCH($J$1,Вх.Данные.Ассортимент!$K$57:$L$57,0))</f>
        <v>53.896000000000001</v>
      </c>
      <c r="M38">
        <f>INDEX(Вх.Данные.Ассортимент!$O$57:$P$58,2,MATCH($K$1,Вх.Данные.Ассортимент!$Q$57:$R$57,0))</f>
        <v>20.210999999999999</v>
      </c>
    </row>
    <row r="39" spans="1:13" x14ac:dyDescent="0.25">
      <c r="A39" s="67">
        <f t="shared" ref="A39:A62" si="6">A38+1</f>
        <v>37</v>
      </c>
      <c r="B39" s="67">
        <f t="shared" ref="B39:B62" si="7">IF(B38=12,1,B38+1)</f>
        <v>3</v>
      </c>
      <c r="C39" s="67">
        <f t="shared" si="5"/>
        <v>2021</v>
      </c>
      <c r="D39" s="168">
        <f>EOMONTH(Настройки!$I$7,$A39)</f>
        <v>44286</v>
      </c>
      <c r="E39" s="170">
        <f t="shared" si="2"/>
        <v>3740000</v>
      </c>
      <c r="F39" s="165">
        <f>SUMIFS(Вх.Данные.Доход!$E:$E,Вх.Данные.Доход!$F:$F,"&lt;="&amp;$A39,Вх.Данные.Доход!$G:$G,"&gt;="&amp;$A39,Вх.Данные.Доход!$A:$A,РазбивкаДохода!F$1)</f>
        <v>480000</v>
      </c>
      <c r="G39" s="165">
        <f>SUMIFS(Вх.Данные.Доход!$E:$E,Вх.Данные.Доход!$F:$F,"&lt;="&amp;$A39,Вх.Данные.Доход!$G:$G,"&gt;="&amp;$A39,Вх.Данные.Доход!$A:$A,РазбивкаДохода!G$1)</f>
        <v>1110000</v>
      </c>
      <c r="H39" s="165">
        <f>SUMIFS(Вх.Данные.Доход!$E:$E,Вх.Данные.Доход!$F:$F,"&lt;="&amp;$A39,Вх.Данные.Доход!$G:$G,"&gt;="&amp;$A39,Вх.Данные.Доход!$A:$A,РазбивкаДохода!H$1)</f>
        <v>1100000</v>
      </c>
      <c r="I39" s="165">
        <f>SUMIFS(Вх.Данные.Доход!$E:$E,Вх.Данные.Доход!$F:$F,"&lt;="&amp;$A39,Вх.Данные.Доход!$G:$G,"&gt;="&amp;$A39,Вх.Данные.Доход!$A:$A,РазбивкаДохода!I$1)</f>
        <v>1050000</v>
      </c>
      <c r="J39" s="204">
        <f>INDEX(Вх.Данные.Ассортимент!$K$57:$L$58,2,MATCH($J$1,Вх.Данные.Ассортимент!$K$57:$L$57,0))</f>
        <v>0.74999999999999989</v>
      </c>
      <c r="K39" s="205">
        <f>INDEX(Вх.Данные.Ассортимент!$Q$57:$R$58,2,MATCH($K$1,Вх.Данные.Ассортимент!$Q$57:$R$57,0))</f>
        <v>0.33333333333333326</v>
      </c>
      <c r="L39">
        <f>INDEX(Вх.Данные.Ассортимент!$D$57:$E$58,2,MATCH($J$1,Вх.Данные.Ассортимент!$K$57:$L$57,0))</f>
        <v>53.896000000000001</v>
      </c>
      <c r="M39">
        <f>INDEX(Вх.Данные.Ассортимент!$O$57:$P$58,2,MATCH($K$1,Вх.Данные.Ассортимент!$Q$57:$R$57,0))</f>
        <v>20.210999999999999</v>
      </c>
    </row>
    <row r="40" spans="1:13" x14ac:dyDescent="0.25">
      <c r="A40" s="67">
        <f t="shared" si="6"/>
        <v>38</v>
      </c>
      <c r="B40" s="67">
        <f t="shared" si="7"/>
        <v>4</v>
      </c>
      <c r="C40" s="67">
        <f t="shared" si="5"/>
        <v>2021</v>
      </c>
      <c r="D40" s="168">
        <f>EOMONTH(Настройки!$I$7,$A40)</f>
        <v>44316</v>
      </c>
      <c r="E40" s="170">
        <f t="shared" si="2"/>
        <v>3740000</v>
      </c>
      <c r="F40" s="165">
        <f>SUMIFS(Вх.Данные.Доход!$E:$E,Вх.Данные.Доход!$F:$F,"&lt;="&amp;$A40,Вх.Данные.Доход!$G:$G,"&gt;="&amp;$A40,Вх.Данные.Доход!$A:$A,РазбивкаДохода!F$1)</f>
        <v>480000</v>
      </c>
      <c r="G40" s="165">
        <f>SUMIFS(Вх.Данные.Доход!$E:$E,Вх.Данные.Доход!$F:$F,"&lt;="&amp;$A40,Вх.Данные.Доход!$G:$G,"&gt;="&amp;$A40,Вх.Данные.Доход!$A:$A,РазбивкаДохода!G$1)</f>
        <v>1110000</v>
      </c>
      <c r="H40" s="165">
        <f>SUMIFS(Вх.Данные.Доход!$E:$E,Вх.Данные.Доход!$F:$F,"&lt;="&amp;$A40,Вх.Данные.Доход!$G:$G,"&gt;="&amp;$A40,Вх.Данные.Доход!$A:$A,РазбивкаДохода!H$1)</f>
        <v>1100000</v>
      </c>
      <c r="I40" s="165">
        <f>SUMIFS(Вх.Данные.Доход!$E:$E,Вх.Данные.Доход!$F:$F,"&lt;="&amp;$A40,Вх.Данные.Доход!$G:$G,"&gt;="&amp;$A40,Вх.Данные.Доход!$A:$A,РазбивкаДохода!I$1)</f>
        <v>1050000</v>
      </c>
      <c r="J40" s="204">
        <f>INDEX(Вх.Данные.Ассортимент!$K$57:$L$58,2,MATCH($J$1,Вх.Данные.Ассортимент!$K$57:$L$57,0))</f>
        <v>0.74999999999999989</v>
      </c>
      <c r="K40" s="205">
        <f>INDEX(Вх.Данные.Ассортимент!$Q$57:$R$58,2,MATCH($K$1,Вх.Данные.Ассортимент!$Q$57:$R$57,0))</f>
        <v>0.33333333333333326</v>
      </c>
      <c r="L40">
        <f>INDEX(Вх.Данные.Ассортимент!$D$57:$E$58,2,MATCH($J$1,Вх.Данные.Ассортимент!$K$57:$L$57,0))</f>
        <v>53.896000000000001</v>
      </c>
      <c r="M40">
        <f>INDEX(Вх.Данные.Ассортимент!$O$57:$P$58,2,MATCH($K$1,Вх.Данные.Ассортимент!$Q$57:$R$57,0))</f>
        <v>20.210999999999999</v>
      </c>
    </row>
    <row r="41" spans="1:13" x14ac:dyDescent="0.25">
      <c r="A41" s="67">
        <f t="shared" si="6"/>
        <v>39</v>
      </c>
      <c r="B41" s="67">
        <f t="shared" si="7"/>
        <v>5</v>
      </c>
      <c r="C41" s="67">
        <f t="shared" si="5"/>
        <v>2021</v>
      </c>
      <c r="D41" s="168">
        <f>EOMONTH(Настройки!$I$7,$A41)</f>
        <v>44347</v>
      </c>
      <c r="E41" s="170">
        <f t="shared" si="2"/>
        <v>3740000</v>
      </c>
      <c r="F41" s="165">
        <f>SUMIFS(Вх.Данные.Доход!$E:$E,Вх.Данные.Доход!$F:$F,"&lt;="&amp;$A41,Вх.Данные.Доход!$G:$G,"&gt;="&amp;$A41,Вх.Данные.Доход!$A:$A,РазбивкаДохода!F$1)</f>
        <v>480000</v>
      </c>
      <c r="G41" s="165">
        <f>SUMIFS(Вх.Данные.Доход!$E:$E,Вх.Данные.Доход!$F:$F,"&lt;="&amp;$A41,Вх.Данные.Доход!$G:$G,"&gt;="&amp;$A41,Вх.Данные.Доход!$A:$A,РазбивкаДохода!G$1)</f>
        <v>1110000</v>
      </c>
      <c r="H41" s="165">
        <f>SUMIFS(Вх.Данные.Доход!$E:$E,Вх.Данные.Доход!$F:$F,"&lt;="&amp;$A41,Вх.Данные.Доход!$G:$G,"&gt;="&amp;$A41,Вх.Данные.Доход!$A:$A,РазбивкаДохода!H$1)</f>
        <v>1100000</v>
      </c>
      <c r="I41" s="165">
        <f>SUMIFS(Вх.Данные.Доход!$E:$E,Вх.Данные.Доход!$F:$F,"&lt;="&amp;$A41,Вх.Данные.Доход!$G:$G,"&gt;="&amp;$A41,Вх.Данные.Доход!$A:$A,РазбивкаДохода!I$1)</f>
        <v>1050000</v>
      </c>
      <c r="J41" s="204">
        <f>INDEX(Вх.Данные.Ассортимент!$K$57:$L$58,2,MATCH($J$1,Вх.Данные.Ассортимент!$K$57:$L$57,0))</f>
        <v>0.74999999999999989</v>
      </c>
      <c r="K41" s="205">
        <f>INDEX(Вх.Данные.Ассортимент!$Q$57:$R$58,2,MATCH($K$1,Вх.Данные.Ассортимент!$Q$57:$R$57,0))</f>
        <v>0.33333333333333326</v>
      </c>
      <c r="L41">
        <f>INDEX(Вх.Данные.Ассортимент!$D$57:$E$58,2,MATCH($J$1,Вх.Данные.Ассортимент!$K$57:$L$57,0))</f>
        <v>53.896000000000001</v>
      </c>
      <c r="M41">
        <f>INDEX(Вх.Данные.Ассортимент!$O$57:$P$58,2,MATCH($K$1,Вх.Данные.Ассортимент!$Q$57:$R$57,0))</f>
        <v>20.210999999999999</v>
      </c>
    </row>
    <row r="42" spans="1:13" x14ac:dyDescent="0.25">
      <c r="A42" s="67">
        <f t="shared" si="6"/>
        <v>40</v>
      </c>
      <c r="B42" s="67">
        <f t="shared" si="7"/>
        <v>6</v>
      </c>
      <c r="C42" s="67">
        <f t="shared" si="5"/>
        <v>2021</v>
      </c>
      <c r="D42" s="168">
        <f>EOMONTH(Настройки!$I$7,$A42)</f>
        <v>44377</v>
      </c>
      <c r="E42" s="170">
        <f t="shared" si="2"/>
        <v>3740000</v>
      </c>
      <c r="F42" s="165">
        <f>SUMIFS(Вх.Данные.Доход!$E:$E,Вх.Данные.Доход!$F:$F,"&lt;="&amp;$A42,Вх.Данные.Доход!$G:$G,"&gt;="&amp;$A42,Вх.Данные.Доход!$A:$A,РазбивкаДохода!F$1)</f>
        <v>480000</v>
      </c>
      <c r="G42" s="165">
        <f>SUMIFS(Вх.Данные.Доход!$E:$E,Вх.Данные.Доход!$F:$F,"&lt;="&amp;$A42,Вх.Данные.Доход!$G:$G,"&gt;="&amp;$A42,Вх.Данные.Доход!$A:$A,РазбивкаДохода!G$1)</f>
        <v>1110000</v>
      </c>
      <c r="H42" s="165">
        <f>SUMIFS(Вх.Данные.Доход!$E:$E,Вх.Данные.Доход!$F:$F,"&lt;="&amp;$A42,Вх.Данные.Доход!$G:$G,"&gt;="&amp;$A42,Вх.Данные.Доход!$A:$A,РазбивкаДохода!H$1)</f>
        <v>1100000</v>
      </c>
      <c r="I42" s="165">
        <f>SUMIFS(Вх.Данные.Доход!$E:$E,Вх.Данные.Доход!$F:$F,"&lt;="&amp;$A42,Вх.Данные.Доход!$G:$G,"&gt;="&amp;$A42,Вх.Данные.Доход!$A:$A,РазбивкаДохода!I$1)</f>
        <v>1050000</v>
      </c>
      <c r="J42" s="204">
        <f>INDEX(Вх.Данные.Ассортимент!$K$57:$L$58,2,MATCH($J$1,Вх.Данные.Ассортимент!$K$57:$L$57,0))</f>
        <v>0.74999999999999989</v>
      </c>
      <c r="K42" s="205">
        <f>INDEX(Вх.Данные.Ассортимент!$Q$57:$R$58,2,MATCH($K$1,Вх.Данные.Ассортимент!$Q$57:$R$57,0))</f>
        <v>0.33333333333333326</v>
      </c>
      <c r="L42">
        <f>INDEX(Вх.Данные.Ассортимент!$D$57:$E$58,2,MATCH($J$1,Вх.Данные.Ассортимент!$K$57:$L$57,0))</f>
        <v>53.896000000000001</v>
      </c>
      <c r="M42">
        <f>INDEX(Вх.Данные.Ассортимент!$O$57:$P$58,2,MATCH($K$1,Вх.Данные.Ассортимент!$Q$57:$R$57,0))</f>
        <v>20.210999999999999</v>
      </c>
    </row>
    <row r="43" spans="1:13" x14ac:dyDescent="0.25">
      <c r="A43" s="67">
        <f t="shared" si="6"/>
        <v>41</v>
      </c>
      <c r="B43" s="67">
        <f t="shared" si="7"/>
        <v>7</v>
      </c>
      <c r="C43" s="67">
        <f t="shared" si="5"/>
        <v>2021</v>
      </c>
      <c r="D43" s="168">
        <f>EOMONTH(Настройки!$I$7,$A43)</f>
        <v>44408</v>
      </c>
      <c r="E43" s="170">
        <f t="shared" si="2"/>
        <v>3740000</v>
      </c>
      <c r="F43" s="165">
        <f>SUMIFS(Вх.Данные.Доход!$E:$E,Вх.Данные.Доход!$F:$F,"&lt;="&amp;$A43,Вх.Данные.Доход!$G:$G,"&gt;="&amp;$A43,Вх.Данные.Доход!$A:$A,РазбивкаДохода!F$1)</f>
        <v>480000</v>
      </c>
      <c r="G43" s="165">
        <f>SUMIFS(Вх.Данные.Доход!$E:$E,Вх.Данные.Доход!$F:$F,"&lt;="&amp;$A43,Вх.Данные.Доход!$G:$G,"&gt;="&amp;$A43,Вх.Данные.Доход!$A:$A,РазбивкаДохода!G$1)</f>
        <v>1110000</v>
      </c>
      <c r="H43" s="165">
        <f>SUMIFS(Вх.Данные.Доход!$E:$E,Вх.Данные.Доход!$F:$F,"&lt;="&amp;$A43,Вх.Данные.Доход!$G:$G,"&gt;="&amp;$A43,Вх.Данные.Доход!$A:$A,РазбивкаДохода!H$1)</f>
        <v>1100000</v>
      </c>
      <c r="I43" s="165">
        <f>SUMIFS(Вх.Данные.Доход!$E:$E,Вх.Данные.Доход!$F:$F,"&lt;="&amp;$A43,Вх.Данные.Доход!$G:$G,"&gt;="&amp;$A43,Вх.Данные.Доход!$A:$A,РазбивкаДохода!I$1)</f>
        <v>1050000</v>
      </c>
      <c r="J43" s="204">
        <f>INDEX(Вх.Данные.Ассортимент!$K$57:$L$58,2,MATCH($J$1,Вх.Данные.Ассортимент!$K$57:$L$57,0))</f>
        <v>0.74999999999999989</v>
      </c>
      <c r="K43" s="205">
        <f>INDEX(Вх.Данные.Ассортимент!$Q$57:$R$58,2,MATCH($K$1,Вх.Данные.Ассортимент!$Q$57:$R$57,0))</f>
        <v>0.33333333333333326</v>
      </c>
      <c r="L43">
        <f>INDEX(Вх.Данные.Ассортимент!$D$57:$E$58,2,MATCH($J$1,Вх.Данные.Ассортимент!$K$57:$L$57,0))</f>
        <v>53.896000000000001</v>
      </c>
      <c r="M43">
        <f>INDEX(Вх.Данные.Ассортимент!$O$57:$P$58,2,MATCH($K$1,Вх.Данные.Ассортимент!$Q$57:$R$57,0))</f>
        <v>20.210999999999999</v>
      </c>
    </row>
    <row r="44" spans="1:13" x14ac:dyDescent="0.25">
      <c r="A44" s="67">
        <f t="shared" si="6"/>
        <v>42</v>
      </c>
      <c r="B44" s="67">
        <f t="shared" si="7"/>
        <v>8</v>
      </c>
      <c r="C44" s="67">
        <f t="shared" si="5"/>
        <v>2021</v>
      </c>
      <c r="D44" s="168">
        <f>EOMONTH(Настройки!$I$7,$A44)</f>
        <v>44439</v>
      </c>
      <c r="E44" s="170">
        <f t="shared" si="2"/>
        <v>3740000</v>
      </c>
      <c r="F44" s="165">
        <f>SUMIFS(Вх.Данные.Доход!$E:$E,Вх.Данные.Доход!$F:$F,"&lt;="&amp;$A44,Вх.Данные.Доход!$G:$G,"&gt;="&amp;$A44,Вх.Данные.Доход!$A:$A,РазбивкаДохода!F$1)</f>
        <v>480000</v>
      </c>
      <c r="G44" s="165">
        <f>SUMIFS(Вх.Данные.Доход!$E:$E,Вх.Данные.Доход!$F:$F,"&lt;="&amp;$A44,Вх.Данные.Доход!$G:$G,"&gt;="&amp;$A44,Вх.Данные.Доход!$A:$A,РазбивкаДохода!G$1)</f>
        <v>1110000</v>
      </c>
      <c r="H44" s="165">
        <f>SUMIFS(Вх.Данные.Доход!$E:$E,Вх.Данные.Доход!$F:$F,"&lt;="&amp;$A44,Вх.Данные.Доход!$G:$G,"&gt;="&amp;$A44,Вх.Данные.Доход!$A:$A,РазбивкаДохода!H$1)</f>
        <v>1100000</v>
      </c>
      <c r="I44" s="165">
        <f>SUMIFS(Вх.Данные.Доход!$E:$E,Вх.Данные.Доход!$F:$F,"&lt;="&amp;$A44,Вх.Данные.Доход!$G:$G,"&gt;="&amp;$A44,Вх.Данные.Доход!$A:$A,РазбивкаДохода!I$1)</f>
        <v>1050000</v>
      </c>
      <c r="J44" s="204">
        <f>INDEX(Вх.Данные.Ассортимент!$K$57:$L$58,2,MATCH($J$1,Вх.Данные.Ассортимент!$K$57:$L$57,0))</f>
        <v>0.74999999999999989</v>
      </c>
      <c r="K44" s="205">
        <f>INDEX(Вх.Данные.Ассортимент!$Q$57:$R$58,2,MATCH($K$1,Вх.Данные.Ассортимент!$Q$57:$R$57,0))</f>
        <v>0.33333333333333326</v>
      </c>
      <c r="L44">
        <f>INDEX(Вх.Данные.Ассортимент!$D$57:$E$58,2,MATCH($J$1,Вх.Данные.Ассортимент!$K$57:$L$57,0))</f>
        <v>53.896000000000001</v>
      </c>
      <c r="M44">
        <f>INDEX(Вх.Данные.Ассортимент!$O$57:$P$58,2,MATCH($K$1,Вх.Данные.Ассортимент!$Q$57:$R$57,0))</f>
        <v>20.210999999999999</v>
      </c>
    </row>
    <row r="45" spans="1:13" x14ac:dyDescent="0.25">
      <c r="A45" s="67">
        <f t="shared" si="6"/>
        <v>43</v>
      </c>
      <c r="B45" s="67">
        <f t="shared" si="7"/>
        <v>9</v>
      </c>
      <c r="C45" s="67">
        <f t="shared" si="5"/>
        <v>2021</v>
      </c>
      <c r="D45" s="168">
        <f>EOMONTH(Настройки!$I$7,$A45)</f>
        <v>44469</v>
      </c>
      <c r="E45" s="170">
        <f t="shared" si="2"/>
        <v>3740000</v>
      </c>
      <c r="F45" s="165">
        <f>SUMIFS(Вх.Данные.Доход!$E:$E,Вх.Данные.Доход!$F:$F,"&lt;="&amp;$A45,Вх.Данные.Доход!$G:$G,"&gt;="&amp;$A45,Вх.Данные.Доход!$A:$A,РазбивкаДохода!F$1)</f>
        <v>480000</v>
      </c>
      <c r="G45" s="165">
        <f>SUMIFS(Вх.Данные.Доход!$E:$E,Вх.Данные.Доход!$F:$F,"&lt;="&amp;$A45,Вх.Данные.Доход!$G:$G,"&gt;="&amp;$A45,Вх.Данные.Доход!$A:$A,РазбивкаДохода!G$1)</f>
        <v>1110000</v>
      </c>
      <c r="H45" s="165">
        <f>SUMIFS(Вх.Данные.Доход!$E:$E,Вх.Данные.Доход!$F:$F,"&lt;="&amp;$A45,Вх.Данные.Доход!$G:$G,"&gt;="&amp;$A45,Вх.Данные.Доход!$A:$A,РазбивкаДохода!H$1)</f>
        <v>1100000</v>
      </c>
      <c r="I45" s="165">
        <f>SUMIFS(Вх.Данные.Доход!$E:$E,Вх.Данные.Доход!$F:$F,"&lt;="&amp;$A45,Вх.Данные.Доход!$G:$G,"&gt;="&amp;$A45,Вх.Данные.Доход!$A:$A,РазбивкаДохода!I$1)</f>
        <v>1050000</v>
      </c>
      <c r="J45" s="204">
        <f>INDEX(Вх.Данные.Ассортимент!$K$57:$L$58,2,MATCH($J$1,Вх.Данные.Ассортимент!$K$57:$L$57,0))</f>
        <v>0.74999999999999989</v>
      </c>
      <c r="K45" s="205">
        <f>INDEX(Вх.Данные.Ассортимент!$Q$57:$R$58,2,MATCH($K$1,Вх.Данные.Ассортимент!$Q$57:$R$57,0))</f>
        <v>0.33333333333333326</v>
      </c>
      <c r="L45">
        <f>INDEX(Вх.Данные.Ассортимент!$D$57:$E$58,2,MATCH($J$1,Вх.Данные.Ассортимент!$K$57:$L$57,0))</f>
        <v>53.896000000000001</v>
      </c>
      <c r="M45">
        <f>INDEX(Вх.Данные.Ассортимент!$O$57:$P$58,2,MATCH($K$1,Вх.Данные.Ассортимент!$Q$57:$R$57,0))</f>
        <v>20.210999999999999</v>
      </c>
    </row>
    <row r="46" spans="1:13" x14ac:dyDescent="0.25">
      <c r="A46" s="67">
        <f t="shared" si="6"/>
        <v>44</v>
      </c>
      <c r="B46" s="67">
        <f t="shared" si="7"/>
        <v>10</v>
      </c>
      <c r="C46" s="67">
        <f t="shared" si="5"/>
        <v>2021</v>
      </c>
      <c r="D46" s="168">
        <f>EOMONTH(Настройки!$I$7,$A46)</f>
        <v>44500</v>
      </c>
      <c r="E46" s="170">
        <f t="shared" si="2"/>
        <v>3740000</v>
      </c>
      <c r="F46" s="165">
        <f>SUMIFS(Вх.Данные.Доход!$E:$E,Вх.Данные.Доход!$F:$F,"&lt;="&amp;$A46,Вх.Данные.Доход!$G:$G,"&gt;="&amp;$A46,Вх.Данные.Доход!$A:$A,РазбивкаДохода!F$1)</f>
        <v>480000</v>
      </c>
      <c r="G46" s="165">
        <f>SUMIFS(Вх.Данные.Доход!$E:$E,Вх.Данные.Доход!$F:$F,"&lt;="&amp;$A46,Вх.Данные.Доход!$G:$G,"&gt;="&amp;$A46,Вх.Данные.Доход!$A:$A,РазбивкаДохода!G$1)</f>
        <v>1110000</v>
      </c>
      <c r="H46" s="165">
        <f>SUMIFS(Вх.Данные.Доход!$E:$E,Вх.Данные.Доход!$F:$F,"&lt;="&amp;$A46,Вх.Данные.Доход!$G:$G,"&gt;="&amp;$A46,Вх.Данные.Доход!$A:$A,РазбивкаДохода!H$1)</f>
        <v>1100000</v>
      </c>
      <c r="I46" s="165">
        <f>SUMIFS(Вх.Данные.Доход!$E:$E,Вх.Данные.Доход!$F:$F,"&lt;="&amp;$A46,Вх.Данные.Доход!$G:$G,"&gt;="&amp;$A46,Вх.Данные.Доход!$A:$A,РазбивкаДохода!I$1)</f>
        <v>1050000</v>
      </c>
      <c r="J46" s="204">
        <f>INDEX(Вх.Данные.Ассортимент!$K$57:$L$58,2,MATCH($J$1,Вх.Данные.Ассортимент!$K$57:$L$57,0))</f>
        <v>0.74999999999999989</v>
      </c>
      <c r="K46" s="205">
        <f>INDEX(Вх.Данные.Ассортимент!$Q$57:$R$58,2,MATCH($K$1,Вх.Данные.Ассортимент!$Q$57:$R$57,0))</f>
        <v>0.33333333333333326</v>
      </c>
      <c r="L46">
        <f>INDEX(Вх.Данные.Ассортимент!$D$57:$E$58,2,MATCH($J$1,Вх.Данные.Ассортимент!$K$57:$L$57,0))</f>
        <v>53.896000000000001</v>
      </c>
      <c r="M46">
        <f>INDEX(Вх.Данные.Ассортимент!$O$57:$P$58,2,MATCH($K$1,Вх.Данные.Ассортимент!$Q$57:$R$57,0))</f>
        <v>20.210999999999999</v>
      </c>
    </row>
    <row r="47" spans="1:13" x14ac:dyDescent="0.25">
      <c r="A47" s="67">
        <f t="shared" si="6"/>
        <v>45</v>
      </c>
      <c r="B47" s="67">
        <f t="shared" si="7"/>
        <v>11</v>
      </c>
      <c r="C47" s="67">
        <f t="shared" si="5"/>
        <v>2021</v>
      </c>
      <c r="D47" s="168">
        <f>EOMONTH(Настройки!$I$7,$A47)</f>
        <v>44530</v>
      </c>
      <c r="E47" s="170">
        <f t="shared" si="2"/>
        <v>3740000</v>
      </c>
      <c r="F47" s="165">
        <f>SUMIFS(Вх.Данные.Доход!$E:$E,Вх.Данные.Доход!$F:$F,"&lt;="&amp;$A47,Вх.Данные.Доход!$G:$G,"&gt;="&amp;$A47,Вх.Данные.Доход!$A:$A,РазбивкаДохода!F$1)</f>
        <v>480000</v>
      </c>
      <c r="G47" s="165">
        <f>SUMIFS(Вх.Данные.Доход!$E:$E,Вх.Данные.Доход!$F:$F,"&lt;="&amp;$A47,Вх.Данные.Доход!$G:$G,"&gt;="&amp;$A47,Вх.Данные.Доход!$A:$A,РазбивкаДохода!G$1)</f>
        <v>1110000</v>
      </c>
      <c r="H47" s="165">
        <f>SUMIFS(Вх.Данные.Доход!$E:$E,Вх.Данные.Доход!$F:$F,"&lt;="&amp;$A47,Вх.Данные.Доход!$G:$G,"&gt;="&amp;$A47,Вх.Данные.Доход!$A:$A,РазбивкаДохода!H$1)</f>
        <v>1100000</v>
      </c>
      <c r="I47" s="165">
        <f>SUMIFS(Вх.Данные.Доход!$E:$E,Вх.Данные.Доход!$F:$F,"&lt;="&amp;$A47,Вх.Данные.Доход!$G:$G,"&gt;="&amp;$A47,Вх.Данные.Доход!$A:$A,РазбивкаДохода!I$1)</f>
        <v>1050000</v>
      </c>
      <c r="J47" s="204">
        <f>INDEX(Вх.Данные.Ассортимент!$K$57:$L$58,2,MATCH($J$1,Вх.Данные.Ассортимент!$K$57:$L$57,0))</f>
        <v>0.74999999999999989</v>
      </c>
      <c r="K47" s="205">
        <f>INDEX(Вх.Данные.Ассортимент!$Q$57:$R$58,2,MATCH($K$1,Вх.Данные.Ассортимент!$Q$57:$R$57,0))</f>
        <v>0.33333333333333326</v>
      </c>
      <c r="L47">
        <f>INDEX(Вх.Данные.Ассортимент!$D$57:$E$58,2,MATCH($J$1,Вх.Данные.Ассортимент!$K$57:$L$57,0))</f>
        <v>53.896000000000001</v>
      </c>
      <c r="M47">
        <f>INDEX(Вх.Данные.Ассортимент!$O$57:$P$58,2,MATCH($K$1,Вх.Данные.Ассортимент!$Q$57:$R$57,0))</f>
        <v>20.210999999999999</v>
      </c>
    </row>
    <row r="48" spans="1:13" x14ac:dyDescent="0.25">
      <c r="A48" s="67">
        <f t="shared" si="6"/>
        <v>46</v>
      </c>
      <c r="B48" s="67">
        <f t="shared" si="7"/>
        <v>12</v>
      </c>
      <c r="C48" s="67">
        <f t="shared" si="5"/>
        <v>2021</v>
      </c>
      <c r="D48" s="168">
        <f>EOMONTH(Настройки!$I$7,$A48)</f>
        <v>44561</v>
      </c>
      <c r="E48" s="170">
        <f t="shared" si="2"/>
        <v>3740000</v>
      </c>
      <c r="F48" s="165">
        <f>SUMIFS(Вх.Данные.Доход!$E:$E,Вх.Данные.Доход!$F:$F,"&lt;="&amp;$A48,Вх.Данные.Доход!$G:$G,"&gt;="&amp;$A48,Вх.Данные.Доход!$A:$A,РазбивкаДохода!F$1)</f>
        <v>480000</v>
      </c>
      <c r="G48" s="165">
        <f>SUMIFS(Вх.Данные.Доход!$E:$E,Вх.Данные.Доход!$F:$F,"&lt;="&amp;$A48,Вх.Данные.Доход!$G:$G,"&gt;="&amp;$A48,Вх.Данные.Доход!$A:$A,РазбивкаДохода!G$1)</f>
        <v>1110000</v>
      </c>
      <c r="H48" s="165">
        <f>SUMIFS(Вх.Данные.Доход!$E:$E,Вх.Данные.Доход!$F:$F,"&lt;="&amp;$A48,Вх.Данные.Доход!$G:$G,"&gt;="&amp;$A48,Вх.Данные.Доход!$A:$A,РазбивкаДохода!H$1)</f>
        <v>1100000</v>
      </c>
      <c r="I48" s="165">
        <f>SUMIFS(Вх.Данные.Доход!$E:$E,Вх.Данные.Доход!$F:$F,"&lt;="&amp;$A48,Вх.Данные.Доход!$G:$G,"&gt;="&amp;$A48,Вх.Данные.Доход!$A:$A,РазбивкаДохода!I$1)</f>
        <v>1050000</v>
      </c>
      <c r="J48" s="204">
        <f>INDEX(Вх.Данные.Ассортимент!$K$57:$L$58,2,MATCH($J$1,Вх.Данные.Ассортимент!$K$57:$L$57,0))</f>
        <v>0.74999999999999989</v>
      </c>
      <c r="K48" s="205">
        <f>INDEX(Вх.Данные.Ассортимент!$Q$57:$R$58,2,MATCH($K$1,Вх.Данные.Ассортимент!$Q$57:$R$57,0))</f>
        <v>0.33333333333333326</v>
      </c>
      <c r="L48">
        <f>INDEX(Вх.Данные.Ассортимент!$D$57:$E$58,2,MATCH($J$1,Вх.Данные.Ассортимент!$K$57:$L$57,0))</f>
        <v>53.896000000000001</v>
      </c>
      <c r="M48">
        <f>INDEX(Вх.Данные.Ассортимент!$O$57:$P$58,2,MATCH($K$1,Вх.Данные.Ассортимент!$Q$57:$R$57,0))</f>
        <v>20.210999999999999</v>
      </c>
    </row>
    <row r="49" spans="1:13" x14ac:dyDescent="0.25">
      <c r="A49" s="67">
        <f t="shared" si="6"/>
        <v>47</v>
      </c>
      <c r="B49" s="67">
        <f t="shared" si="7"/>
        <v>1</v>
      </c>
      <c r="C49" s="67">
        <f t="shared" si="5"/>
        <v>2022</v>
      </c>
      <c r="D49" s="168">
        <f>EOMONTH(Настройки!$I$7,$A49)</f>
        <v>44592</v>
      </c>
      <c r="E49" s="170">
        <f t="shared" si="2"/>
        <v>3740000</v>
      </c>
      <c r="F49" s="165">
        <f>SUMIFS(Вх.Данные.Доход!$E:$E,Вх.Данные.Доход!$F:$F,"&lt;="&amp;$A49,Вх.Данные.Доход!$G:$G,"&gt;="&amp;$A49,Вх.Данные.Доход!$A:$A,РазбивкаДохода!F$1)</f>
        <v>480000</v>
      </c>
      <c r="G49" s="165">
        <f>SUMIFS(Вх.Данные.Доход!$E:$E,Вх.Данные.Доход!$F:$F,"&lt;="&amp;$A49,Вх.Данные.Доход!$G:$G,"&gt;="&amp;$A49,Вх.Данные.Доход!$A:$A,РазбивкаДохода!G$1)</f>
        <v>1110000</v>
      </c>
      <c r="H49" s="165">
        <f>SUMIFS(Вх.Данные.Доход!$E:$E,Вх.Данные.Доход!$F:$F,"&lt;="&amp;$A49,Вх.Данные.Доход!$G:$G,"&gt;="&amp;$A49,Вх.Данные.Доход!$A:$A,РазбивкаДохода!H$1)</f>
        <v>1100000</v>
      </c>
      <c r="I49" s="165">
        <f>SUMIFS(Вх.Данные.Доход!$E:$E,Вх.Данные.Доход!$F:$F,"&lt;="&amp;$A49,Вх.Данные.Доход!$G:$G,"&gt;="&amp;$A49,Вх.Данные.Доход!$A:$A,РазбивкаДохода!I$1)</f>
        <v>1050000</v>
      </c>
      <c r="J49" s="204">
        <f>INDEX(Вх.Данные.Ассортимент!$K$57:$L$58,2,MATCH($J$1,Вх.Данные.Ассортимент!$K$57:$L$57,0))</f>
        <v>0.74999999999999989</v>
      </c>
      <c r="K49" s="205">
        <f>INDEX(Вх.Данные.Ассортимент!$Q$57:$R$58,2,MATCH($K$1,Вх.Данные.Ассортимент!$Q$57:$R$57,0))</f>
        <v>0.33333333333333326</v>
      </c>
      <c r="L49">
        <f>INDEX(Вх.Данные.Ассортимент!$D$57:$E$58,2,MATCH($J$1,Вх.Данные.Ассортимент!$K$57:$L$57,0))</f>
        <v>53.896000000000001</v>
      </c>
      <c r="M49">
        <f>INDEX(Вх.Данные.Ассортимент!$O$57:$P$58,2,MATCH($K$1,Вх.Данные.Ассортимент!$Q$57:$R$57,0))</f>
        <v>20.210999999999999</v>
      </c>
    </row>
    <row r="50" spans="1:13" x14ac:dyDescent="0.25">
      <c r="A50" s="67">
        <f t="shared" si="6"/>
        <v>48</v>
      </c>
      <c r="B50" s="67">
        <f t="shared" si="7"/>
        <v>2</v>
      </c>
      <c r="C50" s="67">
        <f t="shared" si="5"/>
        <v>2022</v>
      </c>
      <c r="D50" s="168">
        <f>EOMONTH(Настройки!$I$7,$A50)</f>
        <v>44620</v>
      </c>
      <c r="E50" s="170">
        <f t="shared" si="2"/>
        <v>3740000</v>
      </c>
      <c r="F50" s="165">
        <f>SUMIFS(Вх.Данные.Доход!$E:$E,Вх.Данные.Доход!$F:$F,"&lt;="&amp;$A50,Вх.Данные.Доход!$G:$G,"&gt;="&amp;$A50,Вх.Данные.Доход!$A:$A,РазбивкаДохода!F$1)</f>
        <v>480000</v>
      </c>
      <c r="G50" s="165">
        <f>SUMIFS(Вх.Данные.Доход!$E:$E,Вх.Данные.Доход!$F:$F,"&lt;="&amp;$A50,Вх.Данные.Доход!$G:$G,"&gt;="&amp;$A50,Вх.Данные.Доход!$A:$A,РазбивкаДохода!G$1)</f>
        <v>1110000</v>
      </c>
      <c r="H50" s="165">
        <f>SUMIFS(Вх.Данные.Доход!$E:$E,Вх.Данные.Доход!$F:$F,"&lt;="&amp;$A50,Вх.Данные.Доход!$G:$G,"&gt;="&amp;$A50,Вх.Данные.Доход!$A:$A,РазбивкаДохода!H$1)</f>
        <v>1100000</v>
      </c>
      <c r="I50" s="165">
        <f>SUMIFS(Вх.Данные.Доход!$E:$E,Вх.Данные.Доход!$F:$F,"&lt;="&amp;$A50,Вх.Данные.Доход!$G:$G,"&gt;="&amp;$A50,Вх.Данные.Доход!$A:$A,РазбивкаДохода!I$1)</f>
        <v>1050000</v>
      </c>
      <c r="J50" s="204">
        <f>INDEX(Вх.Данные.Ассортимент!$K$57:$L$58,2,MATCH($J$1,Вх.Данные.Ассортимент!$K$57:$L$57,0))</f>
        <v>0.74999999999999989</v>
      </c>
      <c r="K50" s="205">
        <f>INDEX(Вх.Данные.Ассортимент!$Q$57:$R$58,2,MATCH($K$1,Вх.Данные.Ассортимент!$Q$57:$R$57,0))</f>
        <v>0.33333333333333326</v>
      </c>
      <c r="L50">
        <f>INDEX(Вх.Данные.Ассортимент!$D$57:$E$58,2,MATCH($J$1,Вх.Данные.Ассортимент!$K$57:$L$57,0))</f>
        <v>53.896000000000001</v>
      </c>
      <c r="M50">
        <f>INDEX(Вх.Данные.Ассортимент!$O$57:$P$58,2,MATCH($K$1,Вх.Данные.Ассортимент!$Q$57:$R$57,0))</f>
        <v>20.210999999999999</v>
      </c>
    </row>
    <row r="51" spans="1:13" x14ac:dyDescent="0.25">
      <c r="A51" s="67">
        <f t="shared" si="6"/>
        <v>49</v>
      </c>
      <c r="B51" s="67">
        <f t="shared" si="7"/>
        <v>3</v>
      </c>
      <c r="C51" s="67">
        <f t="shared" si="5"/>
        <v>2022</v>
      </c>
      <c r="D51" s="168">
        <f>EOMONTH(Настройки!$I$7,$A51)</f>
        <v>44651</v>
      </c>
      <c r="E51" s="170">
        <f t="shared" si="2"/>
        <v>3740000</v>
      </c>
      <c r="F51" s="165">
        <f>SUMIFS(Вх.Данные.Доход!$E:$E,Вх.Данные.Доход!$F:$F,"&lt;="&amp;$A51,Вх.Данные.Доход!$G:$G,"&gt;="&amp;$A51,Вх.Данные.Доход!$A:$A,РазбивкаДохода!F$1)</f>
        <v>480000</v>
      </c>
      <c r="G51" s="165">
        <f>SUMIFS(Вх.Данные.Доход!$E:$E,Вх.Данные.Доход!$F:$F,"&lt;="&amp;$A51,Вх.Данные.Доход!$G:$G,"&gt;="&amp;$A51,Вх.Данные.Доход!$A:$A,РазбивкаДохода!G$1)</f>
        <v>1110000</v>
      </c>
      <c r="H51" s="165">
        <f>SUMIFS(Вх.Данные.Доход!$E:$E,Вх.Данные.Доход!$F:$F,"&lt;="&amp;$A51,Вх.Данные.Доход!$G:$G,"&gt;="&amp;$A51,Вх.Данные.Доход!$A:$A,РазбивкаДохода!H$1)</f>
        <v>1100000</v>
      </c>
      <c r="I51" s="165">
        <f>SUMIFS(Вх.Данные.Доход!$E:$E,Вх.Данные.Доход!$F:$F,"&lt;="&amp;$A51,Вх.Данные.Доход!$G:$G,"&gt;="&amp;$A51,Вх.Данные.Доход!$A:$A,РазбивкаДохода!I$1)</f>
        <v>1050000</v>
      </c>
      <c r="J51" s="204">
        <f>INDEX(Вх.Данные.Ассортимент!$K$57:$L$58,2,MATCH($J$1,Вх.Данные.Ассортимент!$K$57:$L$57,0))</f>
        <v>0.74999999999999989</v>
      </c>
      <c r="K51" s="205">
        <f>INDEX(Вх.Данные.Ассортимент!$Q$57:$R$58,2,MATCH($K$1,Вх.Данные.Ассортимент!$Q$57:$R$57,0))</f>
        <v>0.33333333333333326</v>
      </c>
      <c r="L51">
        <f>INDEX(Вх.Данные.Ассортимент!$D$57:$E$58,2,MATCH($J$1,Вх.Данные.Ассортимент!$K$57:$L$57,0))</f>
        <v>53.896000000000001</v>
      </c>
      <c r="M51">
        <f>INDEX(Вх.Данные.Ассортимент!$O$57:$P$58,2,MATCH($K$1,Вх.Данные.Ассортимент!$Q$57:$R$57,0))</f>
        <v>20.210999999999999</v>
      </c>
    </row>
    <row r="52" spans="1:13" x14ac:dyDescent="0.25">
      <c r="A52" s="67">
        <f t="shared" si="6"/>
        <v>50</v>
      </c>
      <c r="B52" s="67">
        <f t="shared" si="7"/>
        <v>4</v>
      </c>
      <c r="C52" s="67">
        <f t="shared" si="5"/>
        <v>2022</v>
      </c>
      <c r="D52" s="168">
        <f>EOMONTH(Настройки!$I$7,$A52)</f>
        <v>44681</v>
      </c>
      <c r="E52" s="170">
        <f t="shared" si="2"/>
        <v>3740000</v>
      </c>
      <c r="F52" s="165">
        <f>SUMIFS(Вх.Данные.Доход!$E:$E,Вх.Данные.Доход!$F:$F,"&lt;="&amp;$A52,Вх.Данные.Доход!$G:$G,"&gt;="&amp;$A52,Вх.Данные.Доход!$A:$A,РазбивкаДохода!F$1)</f>
        <v>480000</v>
      </c>
      <c r="G52" s="165">
        <f>SUMIFS(Вх.Данные.Доход!$E:$E,Вх.Данные.Доход!$F:$F,"&lt;="&amp;$A52,Вх.Данные.Доход!$G:$G,"&gt;="&amp;$A52,Вх.Данные.Доход!$A:$A,РазбивкаДохода!G$1)</f>
        <v>1110000</v>
      </c>
      <c r="H52" s="165">
        <f>SUMIFS(Вх.Данные.Доход!$E:$E,Вх.Данные.Доход!$F:$F,"&lt;="&amp;$A52,Вх.Данные.Доход!$G:$G,"&gt;="&amp;$A52,Вх.Данные.Доход!$A:$A,РазбивкаДохода!H$1)</f>
        <v>1100000</v>
      </c>
      <c r="I52" s="165">
        <f>SUMIFS(Вх.Данные.Доход!$E:$E,Вх.Данные.Доход!$F:$F,"&lt;="&amp;$A52,Вх.Данные.Доход!$G:$G,"&gt;="&amp;$A52,Вх.Данные.Доход!$A:$A,РазбивкаДохода!I$1)</f>
        <v>1050000</v>
      </c>
      <c r="J52" s="204">
        <f>INDEX(Вх.Данные.Ассортимент!$K$57:$L$58,2,MATCH($J$1,Вх.Данные.Ассортимент!$K$57:$L$57,0))</f>
        <v>0.74999999999999989</v>
      </c>
      <c r="K52" s="205">
        <f>INDEX(Вх.Данные.Ассортимент!$Q$57:$R$58,2,MATCH($K$1,Вх.Данные.Ассортимент!$Q$57:$R$57,0))</f>
        <v>0.33333333333333326</v>
      </c>
      <c r="L52">
        <f>INDEX(Вх.Данные.Ассортимент!$D$57:$E$58,2,MATCH($J$1,Вх.Данные.Ассортимент!$K$57:$L$57,0))</f>
        <v>53.896000000000001</v>
      </c>
      <c r="M52">
        <f>INDEX(Вх.Данные.Ассортимент!$O$57:$P$58,2,MATCH($K$1,Вх.Данные.Ассортимент!$Q$57:$R$57,0))</f>
        <v>20.210999999999999</v>
      </c>
    </row>
    <row r="53" spans="1:13" x14ac:dyDescent="0.25">
      <c r="A53" s="67">
        <f t="shared" si="6"/>
        <v>51</v>
      </c>
      <c r="B53" s="67">
        <f t="shared" si="7"/>
        <v>5</v>
      </c>
      <c r="C53" s="67">
        <f t="shared" si="5"/>
        <v>2022</v>
      </c>
      <c r="D53" s="168">
        <f>EOMONTH(Настройки!$I$7,$A53)</f>
        <v>44712</v>
      </c>
      <c r="E53" s="170">
        <f t="shared" si="2"/>
        <v>3740000</v>
      </c>
      <c r="F53" s="165">
        <f>SUMIFS(Вх.Данные.Доход!$E:$E,Вх.Данные.Доход!$F:$F,"&lt;="&amp;$A53,Вх.Данные.Доход!$G:$G,"&gt;="&amp;$A53,Вх.Данные.Доход!$A:$A,РазбивкаДохода!F$1)</f>
        <v>480000</v>
      </c>
      <c r="G53" s="165">
        <f>SUMIFS(Вх.Данные.Доход!$E:$E,Вх.Данные.Доход!$F:$F,"&lt;="&amp;$A53,Вх.Данные.Доход!$G:$G,"&gt;="&amp;$A53,Вх.Данные.Доход!$A:$A,РазбивкаДохода!G$1)</f>
        <v>1110000</v>
      </c>
      <c r="H53" s="165">
        <f>SUMIFS(Вх.Данные.Доход!$E:$E,Вх.Данные.Доход!$F:$F,"&lt;="&amp;$A53,Вх.Данные.Доход!$G:$G,"&gt;="&amp;$A53,Вх.Данные.Доход!$A:$A,РазбивкаДохода!H$1)</f>
        <v>1100000</v>
      </c>
      <c r="I53" s="165">
        <f>SUMIFS(Вх.Данные.Доход!$E:$E,Вх.Данные.Доход!$F:$F,"&lt;="&amp;$A53,Вх.Данные.Доход!$G:$G,"&gt;="&amp;$A53,Вх.Данные.Доход!$A:$A,РазбивкаДохода!I$1)</f>
        <v>1050000</v>
      </c>
      <c r="J53" s="204">
        <f>INDEX(Вх.Данные.Ассортимент!$K$57:$L$58,2,MATCH($J$1,Вх.Данные.Ассортимент!$K$57:$L$57,0))</f>
        <v>0.74999999999999989</v>
      </c>
      <c r="K53" s="205">
        <f>INDEX(Вх.Данные.Ассортимент!$Q$57:$R$58,2,MATCH($K$1,Вх.Данные.Ассортимент!$Q$57:$R$57,0))</f>
        <v>0.33333333333333326</v>
      </c>
      <c r="L53">
        <f>INDEX(Вх.Данные.Ассортимент!$D$57:$E$58,2,MATCH($J$1,Вх.Данные.Ассортимент!$K$57:$L$57,0))</f>
        <v>53.896000000000001</v>
      </c>
      <c r="M53">
        <f>INDEX(Вх.Данные.Ассортимент!$O$57:$P$58,2,MATCH($K$1,Вх.Данные.Ассортимент!$Q$57:$R$57,0))</f>
        <v>20.210999999999999</v>
      </c>
    </row>
    <row r="54" spans="1:13" x14ac:dyDescent="0.25">
      <c r="A54" s="67">
        <f t="shared" si="6"/>
        <v>52</v>
      </c>
      <c r="B54" s="67">
        <f t="shared" si="7"/>
        <v>6</v>
      </c>
      <c r="C54" s="67">
        <f t="shared" si="5"/>
        <v>2022</v>
      </c>
      <c r="D54" s="168">
        <f>EOMONTH(Настройки!$I$7,$A54)</f>
        <v>44742</v>
      </c>
      <c r="E54" s="170">
        <f t="shared" si="2"/>
        <v>3740000</v>
      </c>
      <c r="F54" s="165">
        <f>SUMIFS(Вх.Данные.Доход!$E:$E,Вх.Данные.Доход!$F:$F,"&lt;="&amp;$A54,Вх.Данные.Доход!$G:$G,"&gt;="&amp;$A54,Вх.Данные.Доход!$A:$A,РазбивкаДохода!F$1)</f>
        <v>480000</v>
      </c>
      <c r="G54" s="165">
        <f>SUMIFS(Вх.Данные.Доход!$E:$E,Вх.Данные.Доход!$F:$F,"&lt;="&amp;$A54,Вх.Данные.Доход!$G:$G,"&gt;="&amp;$A54,Вх.Данные.Доход!$A:$A,РазбивкаДохода!G$1)</f>
        <v>1110000</v>
      </c>
      <c r="H54" s="165">
        <f>SUMIFS(Вх.Данные.Доход!$E:$E,Вх.Данные.Доход!$F:$F,"&lt;="&amp;$A54,Вх.Данные.Доход!$G:$G,"&gt;="&amp;$A54,Вх.Данные.Доход!$A:$A,РазбивкаДохода!H$1)</f>
        <v>1100000</v>
      </c>
      <c r="I54" s="165">
        <f>SUMIFS(Вх.Данные.Доход!$E:$E,Вх.Данные.Доход!$F:$F,"&lt;="&amp;$A54,Вх.Данные.Доход!$G:$G,"&gt;="&amp;$A54,Вх.Данные.Доход!$A:$A,РазбивкаДохода!I$1)</f>
        <v>1050000</v>
      </c>
      <c r="J54" s="204">
        <f>INDEX(Вх.Данные.Ассортимент!$K$57:$L$58,2,MATCH($J$1,Вх.Данные.Ассортимент!$K$57:$L$57,0))</f>
        <v>0.74999999999999989</v>
      </c>
      <c r="K54" s="205">
        <f>INDEX(Вх.Данные.Ассортимент!$Q$57:$R$58,2,MATCH($K$1,Вх.Данные.Ассортимент!$Q$57:$R$57,0))</f>
        <v>0.33333333333333326</v>
      </c>
      <c r="L54">
        <f>INDEX(Вх.Данные.Ассортимент!$D$57:$E$58,2,MATCH($J$1,Вх.Данные.Ассортимент!$K$57:$L$57,0))</f>
        <v>53.896000000000001</v>
      </c>
      <c r="M54">
        <f>INDEX(Вх.Данные.Ассортимент!$O$57:$P$58,2,MATCH($K$1,Вх.Данные.Ассортимент!$Q$57:$R$57,0))</f>
        <v>20.210999999999999</v>
      </c>
    </row>
    <row r="55" spans="1:13" x14ac:dyDescent="0.25">
      <c r="A55" s="67">
        <f t="shared" si="6"/>
        <v>53</v>
      </c>
      <c r="B55" s="67">
        <f t="shared" si="7"/>
        <v>7</v>
      </c>
      <c r="C55" s="67">
        <f t="shared" si="5"/>
        <v>2022</v>
      </c>
      <c r="D55" s="168">
        <f>EOMONTH(Настройки!$I$7,$A55)</f>
        <v>44773</v>
      </c>
      <c r="E55" s="170">
        <f t="shared" si="2"/>
        <v>3740000</v>
      </c>
      <c r="F55" s="165">
        <f>SUMIFS(Вх.Данные.Доход!$E:$E,Вх.Данные.Доход!$F:$F,"&lt;="&amp;$A55,Вх.Данные.Доход!$G:$G,"&gt;="&amp;$A55,Вх.Данные.Доход!$A:$A,РазбивкаДохода!F$1)</f>
        <v>480000</v>
      </c>
      <c r="G55" s="165">
        <f>SUMIFS(Вх.Данные.Доход!$E:$E,Вх.Данные.Доход!$F:$F,"&lt;="&amp;$A55,Вх.Данные.Доход!$G:$G,"&gt;="&amp;$A55,Вх.Данные.Доход!$A:$A,РазбивкаДохода!G$1)</f>
        <v>1110000</v>
      </c>
      <c r="H55" s="165">
        <f>SUMIFS(Вх.Данные.Доход!$E:$E,Вх.Данные.Доход!$F:$F,"&lt;="&amp;$A55,Вх.Данные.Доход!$G:$G,"&gt;="&amp;$A55,Вх.Данные.Доход!$A:$A,РазбивкаДохода!H$1)</f>
        <v>1100000</v>
      </c>
      <c r="I55" s="165">
        <f>SUMIFS(Вх.Данные.Доход!$E:$E,Вх.Данные.Доход!$F:$F,"&lt;="&amp;$A55,Вх.Данные.Доход!$G:$G,"&gt;="&amp;$A55,Вх.Данные.Доход!$A:$A,РазбивкаДохода!I$1)</f>
        <v>1050000</v>
      </c>
      <c r="J55" s="204">
        <f>INDEX(Вх.Данные.Ассортимент!$K$57:$L$58,2,MATCH($J$1,Вх.Данные.Ассортимент!$K$57:$L$57,0))</f>
        <v>0.74999999999999989</v>
      </c>
      <c r="K55" s="205">
        <f>INDEX(Вх.Данные.Ассортимент!$Q$57:$R$58,2,MATCH($K$1,Вх.Данные.Ассортимент!$Q$57:$R$57,0))</f>
        <v>0.33333333333333326</v>
      </c>
      <c r="L55">
        <f>INDEX(Вх.Данные.Ассортимент!$D$57:$E$58,2,MATCH($J$1,Вх.Данные.Ассортимент!$K$57:$L$57,0))</f>
        <v>53.896000000000001</v>
      </c>
      <c r="M55">
        <f>INDEX(Вх.Данные.Ассортимент!$O$57:$P$58,2,MATCH($K$1,Вх.Данные.Ассортимент!$Q$57:$R$57,0))</f>
        <v>20.210999999999999</v>
      </c>
    </row>
    <row r="56" spans="1:13" x14ac:dyDescent="0.25">
      <c r="A56" s="67">
        <f t="shared" si="6"/>
        <v>54</v>
      </c>
      <c r="B56" s="67">
        <f t="shared" si="7"/>
        <v>8</v>
      </c>
      <c r="C56" s="67">
        <f t="shared" si="5"/>
        <v>2022</v>
      </c>
      <c r="D56" s="168">
        <f>EOMONTH(Настройки!$I$7,$A56)</f>
        <v>44804</v>
      </c>
      <c r="E56" s="170">
        <f t="shared" si="2"/>
        <v>3740000</v>
      </c>
      <c r="F56" s="165">
        <f>SUMIFS(Вх.Данные.Доход!$E:$E,Вх.Данные.Доход!$F:$F,"&lt;="&amp;$A56,Вх.Данные.Доход!$G:$G,"&gt;="&amp;$A56,Вх.Данные.Доход!$A:$A,РазбивкаДохода!F$1)</f>
        <v>480000</v>
      </c>
      <c r="G56" s="165">
        <f>SUMIFS(Вх.Данные.Доход!$E:$E,Вх.Данные.Доход!$F:$F,"&lt;="&amp;$A56,Вх.Данные.Доход!$G:$G,"&gt;="&amp;$A56,Вх.Данные.Доход!$A:$A,РазбивкаДохода!G$1)</f>
        <v>1110000</v>
      </c>
      <c r="H56" s="165">
        <f>SUMIFS(Вх.Данные.Доход!$E:$E,Вх.Данные.Доход!$F:$F,"&lt;="&amp;$A56,Вх.Данные.Доход!$G:$G,"&gt;="&amp;$A56,Вх.Данные.Доход!$A:$A,РазбивкаДохода!H$1)</f>
        <v>1100000</v>
      </c>
      <c r="I56" s="165">
        <f>SUMIFS(Вх.Данные.Доход!$E:$E,Вх.Данные.Доход!$F:$F,"&lt;="&amp;$A56,Вх.Данные.Доход!$G:$G,"&gt;="&amp;$A56,Вх.Данные.Доход!$A:$A,РазбивкаДохода!I$1)</f>
        <v>1050000</v>
      </c>
      <c r="J56" s="204">
        <f>INDEX(Вх.Данные.Ассортимент!$K$57:$L$58,2,MATCH($J$1,Вх.Данные.Ассортимент!$K$57:$L$57,0))</f>
        <v>0.74999999999999989</v>
      </c>
      <c r="K56" s="205">
        <f>INDEX(Вх.Данные.Ассортимент!$Q$57:$R$58,2,MATCH($K$1,Вх.Данные.Ассортимент!$Q$57:$R$57,0))</f>
        <v>0.33333333333333326</v>
      </c>
      <c r="L56">
        <f>INDEX(Вх.Данные.Ассортимент!$D$57:$E$58,2,MATCH($J$1,Вх.Данные.Ассортимент!$K$57:$L$57,0))</f>
        <v>53.896000000000001</v>
      </c>
      <c r="M56">
        <f>INDEX(Вх.Данные.Ассортимент!$O$57:$P$58,2,MATCH($K$1,Вх.Данные.Ассортимент!$Q$57:$R$57,0))</f>
        <v>20.210999999999999</v>
      </c>
    </row>
    <row r="57" spans="1:13" x14ac:dyDescent="0.25">
      <c r="A57" s="67">
        <f t="shared" si="6"/>
        <v>55</v>
      </c>
      <c r="B57" s="67">
        <f t="shared" si="7"/>
        <v>9</v>
      </c>
      <c r="C57" s="67">
        <f t="shared" si="5"/>
        <v>2022</v>
      </c>
      <c r="D57" s="168">
        <f>EOMONTH(Настройки!$I$7,$A57)</f>
        <v>44834</v>
      </c>
      <c r="E57" s="170">
        <f t="shared" si="2"/>
        <v>3740000</v>
      </c>
      <c r="F57" s="165">
        <f>SUMIFS(Вх.Данные.Доход!$E:$E,Вх.Данные.Доход!$F:$F,"&lt;="&amp;$A57,Вх.Данные.Доход!$G:$G,"&gt;="&amp;$A57,Вх.Данные.Доход!$A:$A,РазбивкаДохода!F$1)</f>
        <v>480000</v>
      </c>
      <c r="G57" s="165">
        <f>SUMIFS(Вх.Данные.Доход!$E:$E,Вх.Данные.Доход!$F:$F,"&lt;="&amp;$A57,Вх.Данные.Доход!$G:$G,"&gt;="&amp;$A57,Вх.Данные.Доход!$A:$A,РазбивкаДохода!G$1)</f>
        <v>1110000</v>
      </c>
      <c r="H57" s="165">
        <f>SUMIFS(Вх.Данные.Доход!$E:$E,Вх.Данные.Доход!$F:$F,"&lt;="&amp;$A57,Вх.Данные.Доход!$G:$G,"&gt;="&amp;$A57,Вх.Данные.Доход!$A:$A,РазбивкаДохода!H$1)</f>
        <v>1100000</v>
      </c>
      <c r="I57" s="165">
        <f>SUMIFS(Вх.Данные.Доход!$E:$E,Вх.Данные.Доход!$F:$F,"&lt;="&amp;$A57,Вх.Данные.Доход!$G:$G,"&gt;="&amp;$A57,Вх.Данные.Доход!$A:$A,РазбивкаДохода!I$1)</f>
        <v>1050000</v>
      </c>
      <c r="J57" s="204">
        <f>INDEX(Вх.Данные.Ассортимент!$K$57:$L$58,2,MATCH($J$1,Вх.Данные.Ассортимент!$K$57:$L$57,0))</f>
        <v>0.74999999999999989</v>
      </c>
      <c r="K57" s="205">
        <f>INDEX(Вх.Данные.Ассортимент!$Q$57:$R$58,2,MATCH($K$1,Вх.Данные.Ассортимент!$Q$57:$R$57,0))</f>
        <v>0.33333333333333326</v>
      </c>
      <c r="L57">
        <f>INDEX(Вх.Данные.Ассортимент!$D$57:$E$58,2,MATCH($J$1,Вх.Данные.Ассортимент!$K$57:$L$57,0))</f>
        <v>53.896000000000001</v>
      </c>
      <c r="M57">
        <f>INDEX(Вх.Данные.Ассортимент!$O$57:$P$58,2,MATCH($K$1,Вх.Данные.Ассортимент!$Q$57:$R$57,0))</f>
        <v>20.210999999999999</v>
      </c>
    </row>
    <row r="58" spans="1:13" x14ac:dyDescent="0.25">
      <c r="A58" s="67">
        <f t="shared" si="6"/>
        <v>56</v>
      </c>
      <c r="B58" s="67">
        <f t="shared" si="7"/>
        <v>10</v>
      </c>
      <c r="C58" s="67">
        <f t="shared" si="5"/>
        <v>2022</v>
      </c>
      <c r="D58" s="168">
        <f>EOMONTH(Настройки!$I$7,$A58)</f>
        <v>44865</v>
      </c>
      <c r="E58" s="170">
        <f t="shared" si="2"/>
        <v>3740000</v>
      </c>
      <c r="F58" s="165">
        <f>SUMIFS(Вх.Данные.Доход!$E:$E,Вх.Данные.Доход!$F:$F,"&lt;="&amp;$A58,Вх.Данные.Доход!$G:$G,"&gt;="&amp;$A58,Вх.Данные.Доход!$A:$A,РазбивкаДохода!F$1)</f>
        <v>480000</v>
      </c>
      <c r="G58" s="165">
        <f>SUMIFS(Вх.Данные.Доход!$E:$E,Вх.Данные.Доход!$F:$F,"&lt;="&amp;$A58,Вх.Данные.Доход!$G:$G,"&gt;="&amp;$A58,Вх.Данные.Доход!$A:$A,РазбивкаДохода!G$1)</f>
        <v>1110000</v>
      </c>
      <c r="H58" s="165">
        <f>SUMIFS(Вх.Данные.Доход!$E:$E,Вх.Данные.Доход!$F:$F,"&lt;="&amp;$A58,Вх.Данные.Доход!$G:$G,"&gt;="&amp;$A58,Вх.Данные.Доход!$A:$A,РазбивкаДохода!H$1)</f>
        <v>1100000</v>
      </c>
      <c r="I58" s="165">
        <f>SUMIFS(Вх.Данные.Доход!$E:$E,Вх.Данные.Доход!$F:$F,"&lt;="&amp;$A58,Вх.Данные.Доход!$G:$G,"&gt;="&amp;$A58,Вх.Данные.Доход!$A:$A,РазбивкаДохода!I$1)</f>
        <v>1050000</v>
      </c>
      <c r="J58" s="204">
        <f>INDEX(Вх.Данные.Ассортимент!$K$57:$L$58,2,MATCH($J$1,Вх.Данные.Ассортимент!$K$57:$L$57,0))</f>
        <v>0.74999999999999989</v>
      </c>
      <c r="K58" s="205">
        <f>INDEX(Вх.Данные.Ассортимент!$Q$57:$R$58,2,MATCH($K$1,Вх.Данные.Ассортимент!$Q$57:$R$57,0))</f>
        <v>0.33333333333333326</v>
      </c>
      <c r="L58">
        <f>INDEX(Вх.Данные.Ассортимент!$D$57:$E$58,2,MATCH($J$1,Вх.Данные.Ассортимент!$K$57:$L$57,0))</f>
        <v>53.896000000000001</v>
      </c>
      <c r="M58">
        <f>INDEX(Вх.Данные.Ассортимент!$O$57:$P$58,2,MATCH($K$1,Вх.Данные.Ассортимент!$Q$57:$R$57,0))</f>
        <v>20.210999999999999</v>
      </c>
    </row>
    <row r="59" spans="1:13" x14ac:dyDescent="0.25">
      <c r="A59" s="67">
        <f t="shared" si="6"/>
        <v>57</v>
      </c>
      <c r="B59" s="67">
        <f t="shared" si="7"/>
        <v>11</v>
      </c>
      <c r="C59" s="67">
        <f t="shared" si="5"/>
        <v>2022</v>
      </c>
      <c r="D59" s="168">
        <f>EOMONTH(Настройки!$I$7,$A59)</f>
        <v>44895</v>
      </c>
      <c r="E59" s="170">
        <f t="shared" si="2"/>
        <v>3740000</v>
      </c>
      <c r="F59" s="165">
        <f>SUMIFS(Вх.Данные.Доход!$E:$E,Вх.Данные.Доход!$F:$F,"&lt;="&amp;$A59,Вх.Данные.Доход!$G:$G,"&gt;="&amp;$A59,Вх.Данные.Доход!$A:$A,РазбивкаДохода!F$1)</f>
        <v>480000</v>
      </c>
      <c r="G59" s="165">
        <f>SUMIFS(Вх.Данные.Доход!$E:$E,Вх.Данные.Доход!$F:$F,"&lt;="&amp;$A59,Вх.Данные.Доход!$G:$G,"&gt;="&amp;$A59,Вх.Данные.Доход!$A:$A,РазбивкаДохода!G$1)</f>
        <v>1110000</v>
      </c>
      <c r="H59" s="165">
        <f>SUMIFS(Вх.Данные.Доход!$E:$E,Вх.Данные.Доход!$F:$F,"&lt;="&amp;$A59,Вх.Данные.Доход!$G:$G,"&gt;="&amp;$A59,Вх.Данные.Доход!$A:$A,РазбивкаДохода!H$1)</f>
        <v>1100000</v>
      </c>
      <c r="I59" s="165">
        <f>SUMIFS(Вх.Данные.Доход!$E:$E,Вх.Данные.Доход!$F:$F,"&lt;="&amp;$A59,Вх.Данные.Доход!$G:$G,"&gt;="&amp;$A59,Вх.Данные.Доход!$A:$A,РазбивкаДохода!I$1)</f>
        <v>1050000</v>
      </c>
      <c r="J59" s="204">
        <f>INDEX(Вх.Данные.Ассортимент!$K$57:$L$58,2,MATCH($J$1,Вх.Данные.Ассортимент!$K$57:$L$57,0))</f>
        <v>0.74999999999999989</v>
      </c>
      <c r="K59" s="205">
        <f>INDEX(Вх.Данные.Ассортимент!$Q$57:$R$58,2,MATCH($K$1,Вх.Данные.Ассортимент!$Q$57:$R$57,0))</f>
        <v>0.33333333333333326</v>
      </c>
      <c r="L59">
        <f>INDEX(Вх.Данные.Ассортимент!$D$57:$E$58,2,MATCH($J$1,Вх.Данные.Ассортимент!$K$57:$L$57,0))</f>
        <v>53.896000000000001</v>
      </c>
      <c r="M59">
        <f>INDEX(Вх.Данные.Ассортимент!$O$57:$P$58,2,MATCH($K$1,Вх.Данные.Ассортимент!$Q$57:$R$57,0))</f>
        <v>20.210999999999999</v>
      </c>
    </row>
    <row r="60" spans="1:13" x14ac:dyDescent="0.25">
      <c r="A60" s="67">
        <f t="shared" si="6"/>
        <v>58</v>
      </c>
      <c r="B60" s="67">
        <f t="shared" si="7"/>
        <v>12</v>
      </c>
      <c r="C60" s="67">
        <f t="shared" si="5"/>
        <v>2022</v>
      </c>
      <c r="D60" s="168">
        <f>EOMONTH(Настройки!$I$7,$A60)</f>
        <v>44926</v>
      </c>
      <c r="E60" s="170">
        <f t="shared" si="2"/>
        <v>3740000</v>
      </c>
      <c r="F60" s="165">
        <f>SUMIFS(Вх.Данные.Доход!$E:$E,Вх.Данные.Доход!$F:$F,"&lt;="&amp;$A60,Вх.Данные.Доход!$G:$G,"&gt;="&amp;$A60,Вх.Данные.Доход!$A:$A,РазбивкаДохода!F$1)</f>
        <v>480000</v>
      </c>
      <c r="G60" s="165">
        <f>SUMIFS(Вх.Данные.Доход!$E:$E,Вх.Данные.Доход!$F:$F,"&lt;="&amp;$A60,Вх.Данные.Доход!$G:$G,"&gt;="&amp;$A60,Вх.Данные.Доход!$A:$A,РазбивкаДохода!G$1)</f>
        <v>1110000</v>
      </c>
      <c r="H60" s="165">
        <f>SUMIFS(Вх.Данные.Доход!$E:$E,Вх.Данные.Доход!$F:$F,"&lt;="&amp;$A60,Вх.Данные.Доход!$G:$G,"&gt;="&amp;$A60,Вх.Данные.Доход!$A:$A,РазбивкаДохода!H$1)</f>
        <v>1100000</v>
      </c>
      <c r="I60" s="165">
        <f>SUMIFS(Вх.Данные.Доход!$E:$E,Вх.Данные.Доход!$F:$F,"&lt;="&amp;$A60,Вх.Данные.Доход!$G:$G,"&gt;="&amp;$A60,Вх.Данные.Доход!$A:$A,РазбивкаДохода!I$1)</f>
        <v>1050000</v>
      </c>
      <c r="J60" s="204">
        <f>INDEX(Вх.Данные.Ассортимент!$K$57:$L$58,2,MATCH($J$1,Вх.Данные.Ассортимент!$K$57:$L$57,0))</f>
        <v>0.74999999999999989</v>
      </c>
      <c r="K60" s="205">
        <f>INDEX(Вх.Данные.Ассортимент!$Q$57:$R$58,2,MATCH($K$1,Вх.Данные.Ассортимент!$Q$57:$R$57,0))</f>
        <v>0.33333333333333326</v>
      </c>
      <c r="L60">
        <f>INDEX(Вх.Данные.Ассортимент!$D$57:$E$58,2,MATCH($J$1,Вх.Данные.Ассортимент!$K$57:$L$57,0))</f>
        <v>53.896000000000001</v>
      </c>
      <c r="M60">
        <f>INDEX(Вх.Данные.Ассортимент!$O$57:$P$58,2,MATCH($K$1,Вх.Данные.Ассортимент!$Q$57:$R$57,0))</f>
        <v>20.210999999999999</v>
      </c>
    </row>
    <row r="61" spans="1:13" x14ac:dyDescent="0.25">
      <c r="A61" s="67">
        <f t="shared" si="6"/>
        <v>59</v>
      </c>
      <c r="B61" s="67">
        <f t="shared" si="7"/>
        <v>1</v>
      </c>
      <c r="C61" s="67">
        <f t="shared" si="5"/>
        <v>2023</v>
      </c>
      <c r="D61" s="168">
        <f>EOMONTH(Настройки!$I$7,$A61)</f>
        <v>44957</v>
      </c>
      <c r="E61" s="170">
        <f t="shared" si="2"/>
        <v>3740000</v>
      </c>
      <c r="F61" s="165">
        <f>SUMIFS(Вх.Данные.Доход!$E:$E,Вх.Данные.Доход!$F:$F,"&lt;="&amp;$A61,Вх.Данные.Доход!$G:$G,"&gt;="&amp;$A61,Вх.Данные.Доход!$A:$A,РазбивкаДохода!F$1)</f>
        <v>480000</v>
      </c>
      <c r="G61" s="165">
        <f>SUMIFS(Вх.Данные.Доход!$E:$E,Вх.Данные.Доход!$F:$F,"&lt;="&amp;$A61,Вх.Данные.Доход!$G:$G,"&gt;="&amp;$A61,Вх.Данные.Доход!$A:$A,РазбивкаДохода!G$1)</f>
        <v>1110000</v>
      </c>
      <c r="H61" s="165">
        <f>SUMIFS(Вх.Данные.Доход!$E:$E,Вх.Данные.Доход!$F:$F,"&lt;="&amp;$A61,Вх.Данные.Доход!$G:$G,"&gt;="&amp;$A61,Вх.Данные.Доход!$A:$A,РазбивкаДохода!H$1)</f>
        <v>1100000</v>
      </c>
      <c r="I61" s="165">
        <f>SUMIFS(Вх.Данные.Доход!$E:$E,Вх.Данные.Доход!$F:$F,"&lt;="&amp;$A61,Вх.Данные.Доход!$G:$G,"&gt;="&amp;$A61,Вх.Данные.Доход!$A:$A,РазбивкаДохода!I$1)</f>
        <v>1050000</v>
      </c>
      <c r="J61" s="204">
        <f>INDEX(Вх.Данные.Ассортимент!$K$57:$L$58,2,MATCH($J$1,Вх.Данные.Ассортимент!$K$57:$L$57,0))</f>
        <v>0.74999999999999989</v>
      </c>
      <c r="K61" s="205">
        <f>INDEX(Вх.Данные.Ассортимент!$Q$57:$R$58,2,MATCH($K$1,Вх.Данные.Ассортимент!$Q$57:$R$57,0))</f>
        <v>0.33333333333333326</v>
      </c>
      <c r="L61">
        <f>INDEX(Вх.Данные.Ассортимент!$D$57:$E$58,2,MATCH($J$1,Вх.Данные.Ассортимент!$K$57:$L$57,0))</f>
        <v>53.896000000000001</v>
      </c>
      <c r="M61">
        <f>INDEX(Вх.Данные.Ассортимент!$O$57:$P$58,2,MATCH($K$1,Вх.Данные.Ассортимент!$Q$57:$R$57,0))</f>
        <v>20.210999999999999</v>
      </c>
    </row>
    <row r="62" spans="1:13" ht="15.75" thickBot="1" x14ac:dyDescent="0.3">
      <c r="A62" s="67">
        <f t="shared" si="6"/>
        <v>60</v>
      </c>
      <c r="B62" s="67">
        <f t="shared" si="7"/>
        <v>2</v>
      </c>
      <c r="C62" s="67">
        <f t="shared" si="5"/>
        <v>2023</v>
      </c>
      <c r="D62" s="168">
        <f>EOMONTH(Настройки!$I$7,$A62)</f>
        <v>44985</v>
      </c>
      <c r="E62" s="171">
        <f t="shared" si="2"/>
        <v>3740000</v>
      </c>
      <c r="F62" s="165">
        <f>SUMIFS(Вх.Данные.Доход!$E:$E,Вх.Данные.Доход!$F:$F,"&lt;="&amp;$A62,Вх.Данные.Доход!$G:$G,"&gt;="&amp;$A62,Вх.Данные.Доход!$A:$A,РазбивкаДохода!F$1)</f>
        <v>480000</v>
      </c>
      <c r="G62" s="165">
        <f>SUMIFS(Вх.Данные.Доход!$E:$E,Вх.Данные.Доход!$F:$F,"&lt;="&amp;$A62,Вх.Данные.Доход!$G:$G,"&gt;="&amp;$A62,Вх.Данные.Доход!$A:$A,РазбивкаДохода!G$1)</f>
        <v>1110000</v>
      </c>
      <c r="H62" s="165">
        <f>SUMIFS(Вх.Данные.Доход!$E:$E,Вх.Данные.Доход!$F:$F,"&lt;="&amp;$A62,Вх.Данные.Доход!$G:$G,"&gt;="&amp;$A62,Вх.Данные.Доход!$A:$A,РазбивкаДохода!H$1)</f>
        <v>1100000</v>
      </c>
      <c r="I62" s="165">
        <f>SUMIFS(Вх.Данные.Доход!$E:$E,Вх.Данные.Доход!$F:$F,"&lt;="&amp;$A62,Вх.Данные.Доход!$G:$G,"&gt;="&amp;$A62,Вх.Данные.Доход!$A:$A,РазбивкаДохода!I$1)</f>
        <v>1050000</v>
      </c>
      <c r="J62" s="204">
        <f>INDEX(Вх.Данные.Ассортимент!$K$57:$L$58,2,MATCH($J$1,Вх.Данные.Ассортимент!$K$57:$L$57,0))</f>
        <v>0.74999999999999989</v>
      </c>
      <c r="K62" s="205">
        <f>INDEX(Вх.Данные.Ассортимент!$Q$57:$R$58,2,MATCH($K$1,Вх.Данные.Ассортимент!$Q$57:$R$57,0))</f>
        <v>0.33333333333333326</v>
      </c>
      <c r="L62">
        <f>INDEX(Вх.Данные.Ассортимент!$D$57:$E$58,2,MATCH($J$1,Вх.Данные.Ассортимент!$K$57:$L$57,0))</f>
        <v>53.896000000000001</v>
      </c>
      <c r="M62">
        <f>INDEX(Вх.Данные.Ассортимент!$O$57:$P$58,2,MATCH($K$1,Вх.Данные.Ассортимент!$Q$57:$R$57,0))</f>
        <v>20.210999999999999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B1:S38"/>
  <sheetViews>
    <sheetView topLeftCell="A3" workbookViewId="0">
      <selection activeCell="F9" sqref="F9"/>
    </sheetView>
  </sheetViews>
  <sheetFormatPr defaultRowHeight="15" x14ac:dyDescent="0.25"/>
  <cols>
    <col min="1" max="1" width="9.140625" style="1"/>
    <col min="2" max="2" width="41.5703125" style="1" bestFit="1" customWidth="1"/>
    <col min="3" max="4" width="18" style="1" customWidth="1"/>
    <col min="5" max="5" width="16" style="1" customWidth="1"/>
    <col min="6" max="6" width="22" style="1" customWidth="1"/>
    <col min="7" max="7" width="17.28515625" style="1" customWidth="1"/>
    <col min="8" max="9" width="17.7109375" style="1" customWidth="1"/>
    <col min="10" max="11" width="13.28515625" style="1" bestFit="1" customWidth="1"/>
    <col min="12" max="16384" width="9.140625" style="1"/>
  </cols>
  <sheetData>
    <row r="1" spans="2:19" ht="21" x14ac:dyDescent="0.35">
      <c r="B1" s="43" t="s">
        <v>172</v>
      </c>
    </row>
    <row r="2" spans="2:19" ht="12" customHeight="1" x14ac:dyDescent="0.3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4" spans="2:19" ht="15.75" x14ac:dyDescent="0.25">
      <c r="B4" s="80" t="s">
        <v>168</v>
      </c>
      <c r="C4" s="65"/>
      <c r="D4" s="65"/>
      <c r="E4" s="65"/>
      <c r="F4" s="65"/>
      <c r="G4" s="65"/>
      <c r="H4" s="65"/>
      <c r="I4" s="65"/>
    </row>
    <row r="5" spans="2:19" ht="15.75" x14ac:dyDescent="0.25">
      <c r="B5" s="80"/>
      <c r="C5" s="65"/>
      <c r="D5" s="65"/>
      <c r="E5" s="65"/>
      <c r="F5" s="65"/>
      <c r="G5" s="65"/>
      <c r="H5" s="65"/>
      <c r="I5" s="65"/>
    </row>
    <row r="6" spans="2:19" ht="15.75" x14ac:dyDescent="0.25">
      <c r="B6" s="79" t="s">
        <v>167</v>
      </c>
      <c r="C6" s="96">
        <f>SUM(Расчёт.ПрибылиПоПодразделениям!F7:F67)</f>
        <v>185395000</v>
      </c>
      <c r="D6" s="65"/>
      <c r="E6" s="65"/>
      <c r="F6" s="65"/>
      <c r="G6" s="65"/>
      <c r="H6" s="65"/>
      <c r="I6" s="65"/>
    </row>
    <row r="7" spans="2:19" ht="15.75" x14ac:dyDescent="0.25">
      <c r="B7" s="79" t="s">
        <v>170</v>
      </c>
      <c r="C7" s="96">
        <f>SUM(Расчёт.ПрибылиПоПодразделениям!G7:G67)</f>
        <v>-72555441.666666701</v>
      </c>
      <c r="D7" s="65"/>
      <c r="E7" s="65"/>
      <c r="F7" s="65"/>
      <c r="G7" s="65"/>
      <c r="H7" s="65"/>
      <c r="I7" s="65"/>
    </row>
    <row r="8" spans="2:19" x14ac:dyDescent="0.25">
      <c r="B8" s="79" t="s">
        <v>60</v>
      </c>
      <c r="C8" s="225">
        <f>C6+C7</f>
        <v>112839558.3333333</v>
      </c>
      <c r="D8" s="65"/>
      <c r="E8" s="65"/>
      <c r="F8" s="65"/>
      <c r="G8" s="65"/>
      <c r="H8" s="65"/>
      <c r="I8" s="65"/>
    </row>
    <row r="9" spans="2:19" x14ac:dyDescent="0.25">
      <c r="B9" s="79"/>
      <c r="C9" s="65"/>
      <c r="D9" s="65"/>
      <c r="E9" s="65"/>
      <c r="F9" s="65"/>
      <c r="G9" s="65"/>
      <c r="H9" s="65"/>
      <c r="I9" s="65"/>
    </row>
    <row r="10" spans="2:19" ht="15.75" x14ac:dyDescent="0.25">
      <c r="B10" s="79" t="s">
        <v>376</v>
      </c>
      <c r="C10" s="226">
        <f>C8/C6</f>
        <v>0.60864402132383988</v>
      </c>
      <c r="D10" s="65"/>
      <c r="E10" s="65"/>
      <c r="F10" s="65"/>
      <c r="G10" s="65"/>
      <c r="H10" s="65"/>
      <c r="I10" s="65"/>
    </row>
    <row r="11" spans="2:19" ht="15.75" x14ac:dyDescent="0.25">
      <c r="B11" s="79"/>
      <c r="C11" s="98"/>
      <c r="D11" s="65"/>
      <c r="E11" s="65"/>
      <c r="F11" s="65"/>
      <c r="G11" s="65"/>
      <c r="H11" s="65"/>
      <c r="I11" s="65"/>
    </row>
    <row r="12" spans="2:19" ht="15.75" x14ac:dyDescent="0.25">
      <c r="B12" s="79" t="s">
        <v>169</v>
      </c>
      <c r="C12" s="96">
        <f>SUM(ДДС!C18:I18)</f>
        <v>-71893198.009090915</v>
      </c>
      <c r="D12" s="65"/>
      <c r="E12" s="65"/>
      <c r="F12" s="65"/>
      <c r="G12" s="65"/>
      <c r="H12" s="65"/>
      <c r="I12" s="65"/>
    </row>
    <row r="13" spans="2:19" x14ac:dyDescent="0.25">
      <c r="B13" s="79"/>
      <c r="C13" s="79"/>
      <c r="D13" s="65"/>
      <c r="E13" s="65"/>
      <c r="F13" s="65"/>
      <c r="G13" s="65"/>
      <c r="H13" s="65"/>
      <c r="I13" s="65"/>
    </row>
    <row r="14" spans="2:19" ht="15.75" x14ac:dyDescent="0.25">
      <c r="B14" s="79" t="s">
        <v>171</v>
      </c>
      <c r="C14" s="96">
        <f>-C12/C10</f>
        <v>118120273.08297318</v>
      </c>
      <c r="D14" s="65"/>
      <c r="E14" s="65"/>
      <c r="F14" s="65"/>
      <c r="G14" s="65"/>
      <c r="H14" s="65"/>
      <c r="I14" s="65"/>
    </row>
    <row r="15" spans="2:19" ht="15.75" x14ac:dyDescent="0.25">
      <c r="B15" s="79"/>
      <c r="C15" s="98"/>
      <c r="D15" s="65"/>
      <c r="E15" s="65"/>
      <c r="F15" s="65"/>
      <c r="G15" s="65"/>
      <c r="H15" s="65"/>
      <c r="I15" s="65"/>
    </row>
    <row r="16" spans="2:19" ht="15.75" x14ac:dyDescent="0.25">
      <c r="B16" s="99" t="s">
        <v>173</v>
      </c>
      <c r="C16" s="98"/>
      <c r="D16" s="65"/>
      <c r="E16" s="65"/>
      <c r="F16" s="65"/>
      <c r="G16" s="65"/>
      <c r="H16" s="65"/>
      <c r="I16" s="65"/>
    </row>
    <row r="17" spans="2:9" ht="16.5" thickBot="1" x14ac:dyDescent="0.3">
      <c r="B17" s="99"/>
      <c r="C17" s="98"/>
      <c r="D17" s="65"/>
      <c r="E17" s="65"/>
      <c r="F17" s="65"/>
      <c r="G17" s="65"/>
      <c r="H17" s="65"/>
      <c r="I17" s="65"/>
    </row>
    <row r="18" spans="2:9" ht="16.5" thickTop="1" thickBot="1" x14ac:dyDescent="0.3">
      <c r="B18" s="221" t="s">
        <v>390</v>
      </c>
      <c r="C18" s="221"/>
      <c r="D18" s="221">
        <f>Прибыль!C7</f>
        <v>11</v>
      </c>
      <c r="E18" s="221">
        <f>Прибыль!D7</f>
        <v>12</v>
      </c>
      <c r="F18" s="221">
        <f>Прибыль!E7</f>
        <v>12</v>
      </c>
      <c r="G18" s="221">
        <f>Прибыль!F7</f>
        <v>12</v>
      </c>
      <c r="H18" s="221">
        <f>Прибыль!G7</f>
        <v>12</v>
      </c>
      <c r="I18" s="221">
        <f>Прибыль!H7</f>
        <v>2</v>
      </c>
    </row>
    <row r="19" spans="2:9" ht="16.5" thickTop="1" thickBot="1" x14ac:dyDescent="0.3">
      <c r="B19" s="26" t="s">
        <v>199</v>
      </c>
      <c r="C19" s="26">
        <v>2017</v>
      </c>
      <c r="D19" s="26">
        <v>2018</v>
      </c>
      <c r="E19" s="26">
        <v>2019</v>
      </c>
      <c r="F19" s="26">
        <v>2020</v>
      </c>
      <c r="G19" s="26">
        <v>2021</v>
      </c>
      <c r="H19" s="26">
        <v>2022</v>
      </c>
      <c r="I19" s="221">
        <v>2023</v>
      </c>
    </row>
    <row r="20" spans="2:9" ht="15.75" thickTop="1" x14ac:dyDescent="0.25">
      <c r="B20" s="67" t="s">
        <v>167</v>
      </c>
      <c r="C20" s="67"/>
      <c r="D20" s="67">
        <f>SUMIFS('План продаж'!$L$6:$L$66,'План продаж'!$D$6:$D$66,'Анализ ТБУ'!D$19)+C20</f>
        <v>19871000</v>
      </c>
      <c r="E20" s="67">
        <f>SUMIFS('План продаж'!$L$6:$L$66,'План продаж'!$D$6:$D$66,'Анализ ТБУ'!E$19)+D20</f>
        <v>57300000</v>
      </c>
      <c r="F20" s="67">
        <f>SUMIFS('План продаж'!$L$6:$L$66,'План продаж'!$D$6:$D$66,'Анализ ТБУ'!F$19)+E20</f>
        <v>97505000</v>
      </c>
      <c r="G20" s="67">
        <f>SUMIFS('План продаж'!$L$6:$L$66,'План продаж'!$D$6:$D$66,'Анализ ТБУ'!G$19)+F20</f>
        <v>137710000</v>
      </c>
      <c r="H20" s="67">
        <f>SUMIFS('План продаж'!$L$6:$L$66,'План продаж'!$D$6:$D$66,'Анализ ТБУ'!H$19)+G20</f>
        <v>177915000</v>
      </c>
      <c r="I20" s="67">
        <f>SUMIFS('План продаж'!$L$6:$L$66,'План продаж'!$D$6:$D$66,'Анализ ТБУ'!I$19)+H20</f>
        <v>185395000</v>
      </c>
    </row>
    <row r="21" spans="2:9" x14ac:dyDescent="0.25">
      <c r="B21" s="67" t="s">
        <v>234</v>
      </c>
      <c r="C21" s="67">
        <f>SUMIFS('План продаж'!$Q$6:$Q$66,'План продаж'!$D$6:$D$66,'Анализ ТБУ'!C$19)</f>
        <v>0</v>
      </c>
      <c r="D21" s="67">
        <f>SUMIFS('План продаж'!$Q$6:$Q$66,'План продаж'!$D$6:$D$66,'Анализ ТБУ'!D$19)+C21</f>
        <v>12807891.666666664</v>
      </c>
      <c r="E21" s="67">
        <f>SUMIFS('План продаж'!$Q$6:$Q$66,'План продаж'!$D$6:$D$66,'Анализ ТБУ'!E$19)+D21</f>
        <v>35733674.999999993</v>
      </c>
      <c r="F21" s="67">
        <f>SUMIFS('План продаж'!$Q$6:$Q$66,'План продаж'!$D$6:$D$66,'Анализ ТБУ'!F$19)+E21</f>
        <v>59934791.666666649</v>
      </c>
      <c r="G21" s="67">
        <f>SUMIFS('План продаж'!$Q$6:$Q$66,'План продаж'!$D$6:$D$66,'Анализ ТБУ'!G$19)+F21</f>
        <v>84135908.333333313</v>
      </c>
      <c r="H21" s="67">
        <f>SUMIFS('План продаж'!$Q$6:$Q$66,'План продаж'!$D$6:$D$66,'Анализ ТБУ'!H$19)+G21</f>
        <v>108337024.99999997</v>
      </c>
      <c r="I21" s="67">
        <f>SUMIFS('План продаж'!$Q$6:$Q$66,'План продаж'!$D$6:$D$66,'Анализ ТБУ'!I$19)+H21</f>
        <v>112839558.3333333</v>
      </c>
    </row>
    <row r="22" spans="2:9" x14ac:dyDescent="0.25">
      <c r="B22" s="67"/>
      <c r="C22" s="134"/>
      <c r="D22" s="134">
        <f>D21/D20</f>
        <v>0.64455194336805721</v>
      </c>
      <c r="E22" s="134">
        <f>E21/E20</f>
        <v>0.62362434554973811</v>
      </c>
      <c r="F22" s="134">
        <f t="shared" ref="F22:I22" si="0">F21/F20</f>
        <v>0.61468428969454536</v>
      </c>
      <c r="G22" s="134">
        <f t="shared" si="0"/>
        <v>0.61096440587708456</v>
      </c>
      <c r="H22" s="134">
        <f t="shared" si="0"/>
        <v>0.60892575106089974</v>
      </c>
      <c r="I22" s="134">
        <f t="shared" si="0"/>
        <v>0.60864402132383988</v>
      </c>
    </row>
    <row r="23" spans="2:9" x14ac:dyDescent="0.25">
      <c r="B23" s="67"/>
      <c r="C23" s="67"/>
      <c r="D23" s="67"/>
      <c r="E23" s="67"/>
      <c r="F23" s="67"/>
      <c r="G23" s="67"/>
      <c r="H23" s="67"/>
      <c r="I23" s="67"/>
    </row>
    <row r="24" spans="2:9" x14ac:dyDescent="0.25">
      <c r="B24" s="67"/>
      <c r="C24" s="67"/>
      <c r="D24" s="67"/>
      <c r="E24" s="67"/>
      <c r="F24" s="67"/>
      <c r="G24" s="67"/>
      <c r="H24" s="67"/>
      <c r="I24" s="67"/>
    </row>
    <row r="25" spans="2:9" x14ac:dyDescent="0.25">
      <c r="B25" s="67" t="s">
        <v>400</v>
      </c>
      <c r="C25" s="67">
        <f>-SUMIFS(ДДС!$18:$18,ДДС!$5:$5,'Анализ ТБУ'!C$19)</f>
        <v>0</v>
      </c>
      <c r="D25" s="67">
        <f>-SUMIFS(ДДС!$18:$18,ДДС!$5:$5,'Анализ ТБУ'!D$19)+C25</f>
        <v>10881974.834090909</v>
      </c>
      <c r="E25" s="67">
        <f>-SUMIFS(ДДС!$18:$18,ДДС!$5:$5,'Анализ ТБУ'!E$19)+D25</f>
        <v>25368780.24159091</v>
      </c>
      <c r="F25" s="67">
        <f>-SUMIFS(ДДС!$18:$18,ДДС!$5:$5,'Анализ ТБУ'!F$19)+E25</f>
        <v>40046885.649090908</v>
      </c>
      <c r="G25" s="67">
        <f>-SUMIFS(ДДС!$18:$18,ДДС!$5:$5,'Анализ ТБУ'!G$19)+F25</f>
        <v>54724991.056590907</v>
      </c>
      <c r="H25" s="67">
        <f>-SUMIFS(ДДС!$18:$18,ДДС!$5:$5,'Анализ ТБУ'!H$19)+G25</f>
        <v>69403096.464090914</v>
      </c>
      <c r="I25" s="67">
        <f>-SUMIFS(ДДС!$18:$18,ДДС!$5:$5,'Анализ ТБУ'!I$19)+H25</f>
        <v>71893198.009090915</v>
      </c>
    </row>
    <row r="26" spans="2:9" x14ac:dyDescent="0.25">
      <c r="B26" s="67" t="s">
        <v>171</v>
      </c>
      <c r="C26" s="67">
        <f t="shared" ref="C26" si="1">C25/Коэф.Маржа</f>
        <v>0</v>
      </c>
      <c r="D26" s="67">
        <f t="shared" ref="D26:I26" si="2">D25/D22</f>
        <v>16883006.786432102</v>
      </c>
      <c r="E26" s="67">
        <f t="shared" si="2"/>
        <v>40679586.072329797</v>
      </c>
      <c r="F26" s="67">
        <f t="shared" si="2"/>
        <v>65150332.163184747</v>
      </c>
      <c r="G26" s="67">
        <f t="shared" si="2"/>
        <v>89571488.175369456</v>
      </c>
      <c r="H26" s="67">
        <f t="shared" si="2"/>
        <v>113976287.49182227</v>
      </c>
      <c r="I26" s="67">
        <f t="shared" si="2"/>
        <v>118120273.08297318</v>
      </c>
    </row>
    <row r="27" spans="2:9" x14ac:dyDescent="0.25">
      <c r="B27" s="129" t="s">
        <v>215</v>
      </c>
      <c r="C27" s="129">
        <f>C21-C26</f>
        <v>0</v>
      </c>
      <c r="D27" s="129">
        <f t="shared" ref="D27:I27" si="3">D20-D26</f>
        <v>2987993.2135678977</v>
      </c>
      <c r="E27" s="129">
        <f t="shared" si="3"/>
        <v>16620413.927670203</v>
      </c>
      <c r="F27" s="129">
        <f t="shared" si="3"/>
        <v>32354667.836815253</v>
      </c>
      <c r="G27" s="129">
        <f t="shared" si="3"/>
        <v>48138511.824630544</v>
      </c>
      <c r="H27" s="129">
        <f t="shared" si="3"/>
        <v>63938712.508177727</v>
      </c>
      <c r="I27" s="129">
        <f t="shared" si="3"/>
        <v>67274726.917026818</v>
      </c>
    </row>
    <row r="28" spans="2:9" x14ac:dyDescent="0.25">
      <c r="B28" s="129"/>
      <c r="C28" s="129"/>
      <c r="D28" s="129"/>
      <c r="E28" s="129"/>
      <c r="F28" s="129"/>
      <c r="G28" s="129"/>
      <c r="H28" s="129"/>
      <c r="I28" s="129"/>
    </row>
    <row r="29" spans="2:9" x14ac:dyDescent="0.25">
      <c r="B29" s="129" t="s">
        <v>388</v>
      </c>
      <c r="C29" s="129"/>
      <c r="D29" s="129">
        <f t="shared" ref="D29:I29" si="4">D20/D33</f>
        <v>42.411471747925894</v>
      </c>
      <c r="E29" s="129">
        <f t="shared" si="4"/>
        <v>39.01141070582662</v>
      </c>
      <c r="F29" s="129">
        <f t="shared" si="4"/>
        <v>37.786072202815006</v>
      </c>
      <c r="G29" s="129">
        <f t="shared" si="4"/>
        <v>37.298604161868099</v>
      </c>
      <c r="H29" s="129">
        <f t="shared" si="4"/>
        <v>37.036748737459071</v>
      </c>
      <c r="I29" s="129">
        <f t="shared" si="4"/>
        <v>37.000850783345001</v>
      </c>
    </row>
    <row r="30" spans="2:9" x14ac:dyDescent="0.25">
      <c r="B30" s="58"/>
      <c r="C30" s="58"/>
      <c r="D30" s="58"/>
      <c r="E30" s="58"/>
      <c r="F30" s="58"/>
      <c r="G30" s="58"/>
      <c r="H30" s="58"/>
      <c r="I30" s="58"/>
    </row>
    <row r="31" spans="2:9" ht="16.5" thickBot="1" x14ac:dyDescent="0.3">
      <c r="B31" s="99" t="s">
        <v>174</v>
      </c>
    </row>
    <row r="32" spans="2:9" ht="16.5" thickTop="1" thickBot="1" x14ac:dyDescent="0.3">
      <c r="B32" s="26" t="s">
        <v>199</v>
      </c>
      <c r="C32" s="26">
        <v>2017</v>
      </c>
      <c r="D32" s="26">
        <v>2018</v>
      </c>
      <c r="E32" s="26">
        <v>2019</v>
      </c>
      <c r="F32" s="26">
        <v>2020</v>
      </c>
      <c r="G32" s="26">
        <v>2021</v>
      </c>
      <c r="H32" s="26">
        <v>2022</v>
      </c>
      <c r="I32" s="221">
        <v>2023</v>
      </c>
    </row>
    <row r="33" spans="2:9" ht="15.75" thickTop="1" x14ac:dyDescent="0.25">
      <c r="B33" s="67" t="s">
        <v>91</v>
      </c>
      <c r="C33" s="67">
        <f>SUMIFS('План продаж.Кол-во'!$K:$K,'План продаж.Кол-во'!$D:$D,'Анализ ТБУ'!C$32)</f>
        <v>0</v>
      </c>
      <c r="D33" s="67">
        <f>SUMIFS('План продаж.Кол-во'!$K:$K,'План продаж.Кол-во'!$D:$D,'Анализ ТБУ'!D$32)+C33</f>
        <v>468528.89515610313</v>
      </c>
      <c r="E33" s="67">
        <f>SUMIFS('План продаж.Кол-во'!$K:$K,'План продаж.Кол-во'!$D:$D,'Анализ ТБУ'!E$32)+D33</f>
        <v>1468801.0241947456</v>
      </c>
      <c r="F33" s="67">
        <f>SUMIFS('План продаж.Кол-во'!$K:$K,'План продаж.Кол-во'!$D:$D,'Анализ ТБУ'!F$32)+E33</f>
        <v>2580448.1470486373</v>
      </c>
      <c r="G33" s="67">
        <f>SUMIFS('План продаж.Кол-во'!$K:$K,'План продаж.Кол-во'!$D:$D,'Анализ ТБУ'!G$32)+F33</f>
        <v>3692095.2699025292</v>
      </c>
      <c r="H33" s="67">
        <f>SUMIFS('План продаж.Кол-во'!$K:$K,'План продаж.Кол-во'!$D:$D,'Анализ ТБУ'!H$32)+G33</f>
        <v>4803742.3927564211</v>
      </c>
      <c r="I33" s="67">
        <f>SUMIFS('План продаж.Кол-во'!$K:$K,'План продаж.Кол-во'!$D:$D,'Анализ ТБУ'!I$32)+H33</f>
        <v>5010560.462124587</v>
      </c>
    </row>
    <row r="34" spans="2:9" x14ac:dyDescent="0.25">
      <c r="B34" s="67"/>
      <c r="C34" s="67"/>
      <c r="D34" s="67"/>
      <c r="E34" s="67"/>
      <c r="F34" s="67"/>
      <c r="G34" s="67"/>
      <c r="H34" s="67"/>
      <c r="I34" s="67"/>
    </row>
    <row r="35" spans="2:9" x14ac:dyDescent="0.25">
      <c r="B35" s="81" t="s">
        <v>389</v>
      </c>
      <c r="C35" s="81"/>
      <c r="D35" s="231">
        <f t="shared" ref="D35:I35" si="5">D26/D29</f>
        <v>398076.41872880195</v>
      </c>
      <c r="E35" s="231">
        <f t="shared" si="5"/>
        <v>1042761.2161755029</v>
      </c>
      <c r="F35" s="231">
        <f t="shared" si="5"/>
        <v>1724189.0560493649</v>
      </c>
      <c r="G35" s="231">
        <f t="shared" si="5"/>
        <v>2401470.2476974213</v>
      </c>
      <c r="H35" s="231">
        <f t="shared" si="5"/>
        <v>3077383.7169067254</v>
      </c>
      <c r="I35" s="231">
        <f t="shared" si="5"/>
        <v>3192366.4073189916</v>
      </c>
    </row>
    <row r="36" spans="2:9" x14ac:dyDescent="0.25">
      <c r="B36" s="1" t="s">
        <v>391</v>
      </c>
      <c r="D36" s="58">
        <f>D35/D18</f>
        <v>36188.765338981997</v>
      </c>
      <c r="E36" s="58">
        <f t="shared" ref="E36:I36" si="6">E35/E18</f>
        <v>86896.768014625239</v>
      </c>
      <c r="F36" s="58">
        <f t="shared" si="6"/>
        <v>143682.42133744707</v>
      </c>
      <c r="G36" s="58">
        <f t="shared" si="6"/>
        <v>200122.52064145179</v>
      </c>
      <c r="H36" s="58">
        <f t="shared" si="6"/>
        <v>256448.64307556045</v>
      </c>
      <c r="I36" s="58">
        <f t="shared" si="6"/>
        <v>1596183.2036594958</v>
      </c>
    </row>
    <row r="38" spans="2:9" x14ac:dyDescent="0.25">
      <c r="B38" s="129" t="s">
        <v>426</v>
      </c>
      <c r="C38" s="129">
        <f>C35-C37</f>
        <v>0</v>
      </c>
      <c r="D38" s="129">
        <f>D27/D29</f>
        <v>70452.476427301153</v>
      </c>
      <c r="E38" s="129">
        <f t="shared" ref="E38:I38" si="7">E27/E29</f>
        <v>426039.80801924272</v>
      </c>
      <c r="F38" s="129">
        <f t="shared" si="7"/>
        <v>856259.09099927242</v>
      </c>
      <c r="G38" s="129">
        <f t="shared" si="7"/>
        <v>1290625.0222051078</v>
      </c>
      <c r="H38" s="129">
        <f t="shared" si="7"/>
        <v>1726358.6758496957</v>
      </c>
      <c r="I38" s="129">
        <f t="shared" si="7"/>
        <v>1818194.0548055947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B1:I35"/>
  <sheetViews>
    <sheetView zoomScale="90" zoomScaleNormal="90" workbookViewId="0">
      <selection activeCell="B14" sqref="B14"/>
    </sheetView>
  </sheetViews>
  <sheetFormatPr defaultRowHeight="15" x14ac:dyDescent="0.25"/>
  <cols>
    <col min="1" max="1" width="5.85546875" style="1" customWidth="1"/>
    <col min="2" max="2" width="39.5703125" style="71" customWidth="1"/>
    <col min="3" max="3" width="26.5703125" style="1" customWidth="1"/>
    <col min="4" max="4" width="24.42578125" style="1" bestFit="1" customWidth="1"/>
    <col min="5" max="5" width="24.42578125" style="1" customWidth="1"/>
    <col min="6" max="6" width="24.28515625" style="1" customWidth="1"/>
    <col min="7" max="7" width="20.85546875" style="1" customWidth="1"/>
    <col min="8" max="8" width="23.42578125" style="1" customWidth="1"/>
    <col min="9" max="9" width="23.85546875" style="1" bestFit="1" customWidth="1"/>
    <col min="10" max="16384" width="9.140625" style="1"/>
  </cols>
  <sheetData>
    <row r="1" spans="2:9" ht="21.75" customHeight="1" x14ac:dyDescent="0.25">
      <c r="B1" s="254" t="s">
        <v>210</v>
      </c>
      <c r="C1" s="254"/>
      <c r="D1" s="254"/>
    </row>
    <row r="2" spans="2:9" ht="12" customHeight="1" x14ac:dyDescent="0.35">
      <c r="B2" s="95"/>
      <c r="C2" s="95"/>
      <c r="D2" s="95"/>
      <c r="E2" s="95"/>
      <c r="F2" s="95"/>
      <c r="G2" s="95"/>
      <c r="H2" s="95"/>
      <c r="I2" s="95"/>
    </row>
    <row r="3" spans="2:9" ht="11.25" customHeight="1" thickBot="1" x14ac:dyDescent="0.3"/>
    <row r="4" spans="2:9" ht="16.5" thickTop="1" thickBot="1" x14ac:dyDescent="0.3">
      <c r="C4" s="26" t="s">
        <v>83</v>
      </c>
      <c r="D4" s="158" t="s">
        <v>54</v>
      </c>
      <c r="E4" s="26" t="s">
        <v>54</v>
      </c>
      <c r="F4" s="26" t="s">
        <v>54</v>
      </c>
      <c r="G4" s="158" t="s">
        <v>54</v>
      </c>
      <c r="H4" s="26" t="s">
        <v>54</v>
      </c>
      <c r="I4" s="26" t="s">
        <v>54</v>
      </c>
    </row>
    <row r="5" spans="2:9" ht="16.5" thickTop="1" thickBot="1" x14ac:dyDescent="0.3">
      <c r="C5" s="26">
        <v>0</v>
      </c>
      <c r="D5" s="26">
        <f>YEAR(D8)</f>
        <v>2018</v>
      </c>
      <c r="E5" s="26">
        <f t="shared" ref="E5:I5" si="0">YEAR(E8)</f>
        <v>2019</v>
      </c>
      <c r="F5" s="26">
        <f t="shared" si="0"/>
        <v>2020</v>
      </c>
      <c r="G5" s="26">
        <f t="shared" si="0"/>
        <v>2021</v>
      </c>
      <c r="H5" s="26">
        <f t="shared" si="0"/>
        <v>2022</v>
      </c>
      <c r="I5" s="26">
        <f t="shared" si="0"/>
        <v>2023</v>
      </c>
    </row>
    <row r="6" spans="2:9" ht="16.5" thickTop="1" thickBot="1" x14ac:dyDescent="0.3">
      <c r="B6" s="76" t="s">
        <v>184</v>
      </c>
      <c r="C6" s="26">
        <v>0</v>
      </c>
      <c r="D6" s="26">
        <f t="shared" ref="D6:I6" si="1">C7+1</f>
        <v>1</v>
      </c>
      <c r="E6" s="26">
        <f t="shared" si="1"/>
        <v>11</v>
      </c>
      <c r="F6" s="26">
        <f t="shared" si="1"/>
        <v>23</v>
      </c>
      <c r="G6" s="221">
        <f t="shared" si="1"/>
        <v>35</v>
      </c>
      <c r="H6" s="221">
        <f t="shared" si="1"/>
        <v>47</v>
      </c>
      <c r="I6" s="221">
        <f t="shared" si="1"/>
        <v>59</v>
      </c>
    </row>
    <row r="7" spans="2:9" ht="16.5" thickTop="1" thickBot="1" x14ac:dyDescent="0.3">
      <c r="B7" s="76" t="s">
        <v>185</v>
      </c>
      <c r="C7" s="26">
        <f>INDEX('План продаж'!$B:$B,MATCH(C$8,'План продаж'!$E:$E,0))</f>
        <v>0</v>
      </c>
      <c r="D7" s="26">
        <f>INDEX('План продаж'!$B:$B,MATCH(D$8,'План продаж'!$E:$E,0))</f>
        <v>10</v>
      </c>
      <c r="E7" s="26">
        <f>INDEX('План продаж'!$B:$B,MATCH(E$8,'План продаж'!$E:$E,0))</f>
        <v>22</v>
      </c>
      <c r="F7" s="26">
        <f>INDEX('План продаж'!$B:$B,MATCH(F$8,'План продаж'!$E:$E,0))</f>
        <v>34</v>
      </c>
      <c r="G7" s="26">
        <f>INDEX('План продаж'!$B:$B,MATCH(G$8,'План продаж'!$E:$E,0))</f>
        <v>46</v>
      </c>
      <c r="H7" s="26">
        <f>INDEX('План продаж'!$B:$B,MATCH(H$8,'План продаж'!$E:$E,0))</f>
        <v>58</v>
      </c>
      <c r="I7" s="26">
        <f>INDEX('План продаж'!$B:$B,MATCH(I$8,'План продаж'!$E:$E,0))</f>
        <v>60</v>
      </c>
    </row>
    <row r="8" spans="2:9" ht="16.5" thickTop="1" thickBot="1" x14ac:dyDescent="0.3">
      <c r="B8" s="76" t="s">
        <v>50</v>
      </c>
      <c r="C8" s="100">
        <v>43159</v>
      </c>
      <c r="D8" s="100">
        <v>43465</v>
      </c>
      <c r="E8" s="100">
        <v>43830</v>
      </c>
      <c r="F8" s="100">
        <v>44196</v>
      </c>
      <c r="G8" s="100">
        <v>44561</v>
      </c>
      <c r="H8" s="100">
        <v>44926</v>
      </c>
      <c r="I8" s="100">
        <v>44985</v>
      </c>
    </row>
    <row r="9" spans="2:9" ht="6" customHeight="1" thickTop="1" thickBot="1" x14ac:dyDescent="0.3">
      <c r="B9" s="1"/>
    </row>
    <row r="10" spans="2:9" ht="29.25" customHeight="1" thickTop="1" thickBot="1" x14ac:dyDescent="0.3">
      <c r="B10" s="76" t="s">
        <v>148</v>
      </c>
      <c r="C10" s="70"/>
      <c r="D10" s="69">
        <f t="shared" ref="D10:I10" si="2">C11</f>
        <v>-5175691</v>
      </c>
      <c r="E10" s="69">
        <f t="shared" si="2"/>
        <v>832290.27702019922</v>
      </c>
      <c r="F10" s="69">
        <f t="shared" si="2"/>
        <v>6905304.206869591</v>
      </c>
      <c r="G10" s="69">
        <f t="shared" si="2"/>
        <v>14067678.136718979</v>
      </c>
      <c r="H10" s="69">
        <f t="shared" si="2"/>
        <v>22811302.066568367</v>
      </c>
      <c r="I10" s="69">
        <f t="shared" si="2"/>
        <v>32024717.663084421</v>
      </c>
    </row>
    <row r="11" spans="2:9" ht="39" customHeight="1" thickTop="1" thickBot="1" x14ac:dyDescent="0.3">
      <c r="B11" s="76" t="s">
        <v>149</v>
      </c>
      <c r="C11" s="69">
        <f t="shared" ref="C11:I11" si="3">C10+C28</f>
        <v>-5175691</v>
      </c>
      <c r="D11" s="69">
        <f t="shared" si="3"/>
        <v>832290.27702019922</v>
      </c>
      <c r="E11" s="69">
        <f t="shared" si="3"/>
        <v>6905304.206869591</v>
      </c>
      <c r="F11" s="69">
        <f t="shared" si="3"/>
        <v>14067678.136718979</v>
      </c>
      <c r="G11" s="69">
        <f t="shared" si="3"/>
        <v>22811302.066568367</v>
      </c>
      <c r="H11" s="69">
        <f t="shared" si="3"/>
        <v>32024717.663084421</v>
      </c>
      <c r="I11" s="69">
        <f t="shared" si="3"/>
        <v>33985550.174309321</v>
      </c>
    </row>
    <row r="12" spans="2:9" ht="7.5" customHeight="1" thickTop="1" thickBot="1" x14ac:dyDescent="0.3">
      <c r="B12" s="1"/>
    </row>
    <row r="13" spans="2:9" ht="16.5" thickTop="1" thickBot="1" x14ac:dyDescent="0.3">
      <c r="B13" s="76" t="s">
        <v>71</v>
      </c>
      <c r="C13" s="69">
        <f>IF(OR(C4="Инвестиционная",C4="Прединвестиционная"),-SUMIFS(Инвестиции!$7:$7,Инвестиции!$8:$8,ДДС!C$5),0)</f>
        <v>-5175691</v>
      </c>
      <c r="D13" s="69">
        <f>IF(OR(D4="Инвестиционная",D4="Прединвестиционная"),-SUMIFS(Инвестиции!$7:$7,Инвестиции!$8:$8,ДДС!D$5),0)</f>
        <v>0</v>
      </c>
      <c r="E13" s="69">
        <f>IF(OR(E4="Инвестиционная",E4="Прединвестиционная"),-SUMIFS(Инвестиции!$7:$7,Инвестиции!$8:$8,ДДС!E$5),0)</f>
        <v>0</v>
      </c>
      <c r="F13" s="69">
        <f>IF(OR(F4="Инвестиционная",F4="Прединвестиционная"),-SUMIFS(Инвестиции!$7:$7,Инвестиции!$8:$8,ДДС!F$5),0)</f>
        <v>0</v>
      </c>
      <c r="G13" s="69">
        <f>IF(OR(G4="Инвестиционная",G4="Прединвестиционная"),-SUMIFS(Инвестиции!$7:$7,Инвестиции!$8:$8,ДДС!G$5),0)</f>
        <v>0</v>
      </c>
      <c r="H13" s="69">
        <f>IF(OR(H4="Инвестиционная",H4="Прединвестиционная"),-SUMIFS(Инвестиции!$7:$7,Инвестиции!$8:$8,ДДС!H$5),0)</f>
        <v>0</v>
      </c>
      <c r="I13" s="69">
        <f>IF(OR(I4="Инвестиционная",I4="Прединвестиционная"),-SUMIFS(Инвестиции!$7:$7,Инвестиции!$8:$8,ДДС!I$5),0)</f>
        <v>0</v>
      </c>
    </row>
    <row r="14" spans="2:9" ht="16.5" thickTop="1" thickBot="1" x14ac:dyDescent="0.3">
      <c r="B14" s="76" t="s">
        <v>427</v>
      </c>
      <c r="C14" s="69"/>
      <c r="D14" s="69">
        <f>IF(D$4="Эксплуатационная",SUMIFS(Расчёт.ПрибылиВсё!$T:$T,Расчёт.ПрибылиВсё!$B:$B,"&gt;="&amp;ДДС!D$6,Расчёт.ПрибылиВсё!$B:$B,"&lt;="&amp;ДДС!D$7)+SUMIFS(Расчёт.ПрибылиВсё!$Z:$Z,Расчёт.ПрибылиВсё!$B:$B,"&gt;="&amp;ДДС!D$6,Расчёт.ПрибылиВсё!$B:$B,"&lt;="&amp;ДДС!D$7),0)</f>
        <v>507064.44444444461</v>
      </c>
      <c r="E14" s="69">
        <f>IF(E$4="Эксплуатационная",SUMIFS(Расчёт.ПрибылиВсё!$T:$T,Расчёт.ПрибылиВсё!$B:$B,"&gt;="&amp;ДДС!E$6,Расчёт.ПрибылиВсё!$B:$B,"&lt;="&amp;ДДС!E$7)+SUMIFS(Расчёт.ПрибылиВсё!$Z:$Z,Расчёт.ПрибылиВсё!$B:$B,"&gt;="&amp;ДДС!E$6,Расчёт.ПрибылиВсё!$B:$B,"&lt;="&amp;ДДС!E$7),0)</f>
        <v>269673.3333333336</v>
      </c>
      <c r="F14" s="69">
        <f>IF(F$4="Эксплуатационная",SUMIFS(Расчёт.ПрибылиВсё!$T:$T,Расчёт.ПрибылиВсё!$B:$B,"&gt;="&amp;ДДС!F$6,Расчёт.ПрибылиВсё!$B:$B,"&lt;="&amp;ДДС!F$7)+SUMIFS(Расчёт.ПрибылиВсё!$Z:$Z,Расчёт.ПрибылиВсё!$B:$B,"&gt;="&amp;ДДС!F$6,Расчёт.ПрибылиВсё!$B:$B,"&lt;="&amp;ДДС!F$7),0)</f>
        <v>0</v>
      </c>
      <c r="G14" s="69">
        <f>IF(G$4="Эксплуатационная",SUMIFS(Расчёт.ПрибылиВсё!$T:$T,Расчёт.ПрибылиВсё!$B:$B,"&gt;="&amp;ДДС!G$6,Расчёт.ПрибылиВсё!$B:$B,"&lt;="&amp;ДДС!G$7)+SUMIFS(Расчёт.ПрибылиВсё!$Z:$Z,Расчёт.ПрибылиВсё!$B:$B,"&gt;="&amp;ДДС!G$6,Расчёт.ПрибылиВсё!$B:$B,"&lt;="&amp;ДДС!G$7),0)</f>
        <v>0</v>
      </c>
      <c r="H14" s="69">
        <f>IF(H$4="Эксплуатационная",SUMIFS(Расчёт.ПрибылиВсё!$T:$T,Расчёт.ПрибылиВсё!$B:$B,"&gt;="&amp;ДДС!H$6,Расчёт.ПрибылиВсё!$B:$B,"&lt;="&amp;ДДС!H$7)+SUMIFS(Расчёт.ПрибылиВсё!$Z:$Z,Расчёт.ПрибылиВсё!$B:$B,"&gt;="&amp;ДДС!H$6,Расчёт.ПрибылиВсё!$B:$B,"&lt;="&amp;ДДС!H$7),0)</f>
        <v>0</v>
      </c>
      <c r="I14" s="69">
        <f>IF(I$4="Эксплуатационная",SUMIFS(Расчёт.ПрибылиВсё!$T:$T,Расчёт.ПрибылиВсё!$B:$B,"&gt;="&amp;ДДС!I$6,Расчёт.ПрибылиВсё!$B:$B,"&lt;="&amp;ДДС!I$7)+SUMIFS(Расчёт.ПрибылиВсё!$Z:$Z,Расчёт.ПрибылиВсё!$B:$B,"&gt;="&amp;ДДС!I$6,Расчёт.ПрибылиВсё!$B:$B,"&lt;="&amp;ДДС!I$7),0)</f>
        <v>0</v>
      </c>
    </row>
    <row r="15" spans="2:9" ht="31.5" customHeight="1" thickTop="1" thickBot="1" x14ac:dyDescent="0.3">
      <c r="B15" s="76" t="s">
        <v>72</v>
      </c>
      <c r="C15" s="69"/>
      <c r="D15" s="69">
        <f>IF(D$4="Эксплуатационная",SUMIFS('План продаж'!$Q$5:$Q$66,'План продаж'!$B$5:$B$66,"&gt;="&amp;ДДС!D$6,'План продаж'!$B$5:$B$66,"&lt;="&amp;ДДС!D$7),0)</f>
        <v>12807891.666666664</v>
      </c>
      <c r="E15" s="69">
        <f>IF(E$4="Эксплуатационная",SUMIFS('План продаж'!$Q$5:$Q$66,'План продаж'!$B$5:$B$66,"&gt;="&amp;ДДС!E$6,'План продаж'!$B$5:$B$66,"&lt;="&amp;ДДС!E$7),0)</f>
        <v>22925783.333333328</v>
      </c>
      <c r="F15" s="69">
        <f>IF(F$4="Эксплуатационная",SUMIFS('План продаж'!$Q$5:$Q$66,'План продаж'!$B$5:$B$66,"&gt;="&amp;ДДС!F$6,'План продаж'!$B$5:$B$66,"&lt;="&amp;ДДС!F$7),0)</f>
        <v>24201116.666666657</v>
      </c>
      <c r="G15" s="69">
        <f>IF(G$4="Эксплуатационная",SUMIFS('План продаж'!$Q$5:$Q$66,'План продаж'!$B$5:$B$66,"&gt;="&amp;ДДС!G$6,'План продаж'!$B$5:$B$66,"&lt;="&amp;ДДС!G$7),0)</f>
        <v>24201116.666666657</v>
      </c>
      <c r="H15" s="69">
        <f>IF(H$4="Эксплуатационная",SUMIFS('План продаж'!$Q$5:$Q$66,'План продаж'!$B$5:$B$66,"&gt;="&amp;ДДС!H$6,'План продаж'!$B$5:$B$66,"&lt;="&amp;ДДС!H$7),0)</f>
        <v>24201116.666666657</v>
      </c>
      <c r="I15" s="69">
        <f>IF(I$4="Эксплуатационная",SUMIFS('План продаж'!$Q$5:$Q$66,'План продаж'!$B$5:$B$66,"&gt;="&amp;ДДС!I$6,'План продаж'!$B$5:$B$66,"&lt;="&amp;ДДС!I$7),0)</f>
        <v>4502533.3333333321</v>
      </c>
    </row>
    <row r="16" spans="2:9" ht="16.5" thickTop="1" thickBot="1" x14ac:dyDescent="0.3">
      <c r="B16" s="74" t="s">
        <v>99</v>
      </c>
      <c r="C16" s="69"/>
      <c r="D16" s="69"/>
      <c r="E16" s="69">
        <f>IF(E$4="Эксплуатационная",SUMIFS('План продаж'!$W$5:$W$66,'План продаж'!$B$5:$B$66,"&gt;="&amp;ДДС!E$6,'План продаж'!$B$5:$B$66,"&lt;="&amp;ДДС!E$7),0)</f>
        <v>0</v>
      </c>
      <c r="F16" s="69">
        <f>IF(F$4="Эксплуатационная",SUMIFS('План продаж'!$W$5:$W$66,'План продаж'!$B$5:$B$66,"&gt;="&amp;ДДС!F$6,'План продаж'!$B$5:$B$66,"&lt;="&amp;ДДС!F$7),0)</f>
        <v>0</v>
      </c>
      <c r="G16" s="69">
        <f>IF(G$4="Эксплуатационная",SUMIFS('План продаж'!$W$5:$W$66,'План продаж'!$B$5:$B$66,"&gt;="&amp;ДДС!G$6,'План продаж'!$B$5:$B$66,"&lt;="&amp;ДДС!G$7),0)</f>
        <v>0</v>
      </c>
      <c r="H16" s="69">
        <f>IF(H$4="Эксплуатационная",SUMIFS('План продаж'!$W$5:$W$66,'План продаж'!$B$5:$B$66,"&gt;="&amp;ДДС!H$6,'План продаж'!$B$5:$B$66,"&lt;="&amp;ДДС!H$7),0)</f>
        <v>0</v>
      </c>
      <c r="I16" s="69">
        <f>IF(I$4="Эксплуатационная",SUMIFS('План продаж'!$W$5:$W$66,'План продаж'!$B$5:$B$66,"&gt;="&amp;ДДС!I$6,'План продаж'!$B$5:$B$66,"&lt;="&amp;ДДС!I$7),0)</f>
        <v>0</v>
      </c>
    </row>
    <row r="17" spans="2:9" ht="16.5" hidden="1" thickTop="1" thickBot="1" x14ac:dyDescent="0.3">
      <c r="B17" s="74" t="s">
        <v>102</v>
      </c>
      <c r="C17" s="69"/>
      <c r="D17" s="69"/>
      <c r="E17" s="69">
        <f>IF(E$4="Эксплуатационная",SUMIFS('План продаж'!$X$5:$X$66,'План продаж'!$B$5:$B$66,"&gt;="&amp;ДДС!E$6,'План продаж'!$B$5:$B$66,"&lt;="&amp;ДДС!E$7),0)</f>
        <v>-309595.6626506024</v>
      </c>
      <c r="F17" s="69">
        <f>IF(F$4="Эксплуатационная",SUMIFS('План продаж'!$X$5:$X$66,'План продаж'!$B$5:$B$66,"&gt;="&amp;ДДС!F$6,'План продаж'!$B$5:$B$66,"&lt;="&amp;ДДС!F$7),0)</f>
        <v>-309595.6626506024</v>
      </c>
      <c r="G17" s="69">
        <f>IF(G$4="Эксплуатационная",SUMIFS('План продаж'!$X$5:$X$66,'План продаж'!$B$5:$B$66,"&gt;="&amp;ДДС!G$6,'План продаж'!$B$5:$B$66,"&lt;="&amp;ДДС!G$7),0)</f>
        <v>-309595.6626506024</v>
      </c>
      <c r="H17" s="69">
        <f>IF(H$4="Эксплуатационная",SUMIFS('План продаж'!$X$5:$X$66,'План продаж'!$B$5:$B$66,"&gt;="&amp;ДДС!H$6,'План продаж'!$B$5:$B$66,"&lt;="&amp;ДДС!H$7),0)</f>
        <v>-309595.6626506024</v>
      </c>
      <c r="I17" s="69">
        <f>IF(I$4="Эксплуатационная",SUMIFS('План продаж'!$X$5:$X$66,'План продаж'!$B$5:$B$66,"&gt;="&amp;ДДС!I$6,'План продаж'!$B$5:$B$66,"&lt;="&amp;ДДС!I$7),0)</f>
        <v>-51599.277108433736</v>
      </c>
    </row>
    <row r="18" spans="2:9" ht="16.5" thickTop="1" thickBot="1" x14ac:dyDescent="0.3">
      <c r="B18" s="76" t="s">
        <v>73</v>
      </c>
      <c r="C18" s="69">
        <f>SUM(C19:C22)</f>
        <v>0</v>
      </c>
      <c r="D18" s="69">
        <f t="shared" ref="D18:I18" si="4">SUM(D19:D21)</f>
        <v>-10881974.834090909</v>
      </c>
      <c r="E18" s="69">
        <f t="shared" si="4"/>
        <v>-14486805.407499999</v>
      </c>
      <c r="F18" s="69">
        <f t="shared" si="4"/>
        <v>-14678105.407499999</v>
      </c>
      <c r="G18" s="69">
        <f t="shared" si="4"/>
        <v>-14678105.407499999</v>
      </c>
      <c r="H18" s="69">
        <f t="shared" si="4"/>
        <v>-14678105.407499999</v>
      </c>
      <c r="I18" s="69">
        <f t="shared" si="4"/>
        <v>-2490101.5449999999</v>
      </c>
    </row>
    <row r="19" spans="2:9" ht="16.5" thickTop="1" thickBot="1" x14ac:dyDescent="0.3">
      <c r="B19" s="75" t="s">
        <v>66</v>
      </c>
      <c r="C19" s="69"/>
      <c r="D19" s="69">
        <f>-IF(D$4="Эксплуатационная",SUMIFS('Расчёт.Постоянные расходы'!$I:$I,'Расчёт.Постоянные расходы'!$B:$B,"&lt;="&amp;ДДС!D$7,'Расчёт.Постоянные расходы'!$B:$B,"&gt;="&amp;ДДС!D$6),0)</f>
        <v>-5600000</v>
      </c>
      <c r="E19" s="69">
        <f>-IF(E$4="Эксплуатационная",SUMIFS('Расчёт.Постоянные расходы'!$I:$I,'Расчёт.Постоянные расходы'!$B:$B,"&lt;="&amp;ДДС!E$7,'Расчёт.Постоянные расходы'!$B:$B,"&gt;="&amp;ДДС!E$6),0)</f>
        <v>-6720000</v>
      </c>
      <c r="F19" s="69">
        <f>-IF(F$4="Эксплуатационная",SUMIFS('Расчёт.Постоянные расходы'!$I:$I,'Расчёт.Постоянные расходы'!$B:$B,"&lt;="&amp;ДДС!F$7,'Расчёт.Постоянные расходы'!$B:$B,"&gt;="&amp;ДДС!F$6),0)</f>
        <v>-6720000</v>
      </c>
      <c r="G19" s="69">
        <f>-IF(G$4="Эксплуатационная",SUMIFS('Расчёт.Постоянные расходы'!$I:$I,'Расчёт.Постоянные расходы'!$B:$B,"&lt;="&amp;ДДС!G$7,'Расчёт.Постоянные расходы'!$B:$B,"&gt;="&amp;ДДС!G$6),0)</f>
        <v>-6720000</v>
      </c>
      <c r="H19" s="69">
        <f>-IF(H$4="Эксплуатационная",SUMIFS('Расчёт.Постоянные расходы'!$I:$I,'Расчёт.Постоянные расходы'!$B:$B,"&lt;="&amp;ДДС!H$7,'Расчёт.Постоянные расходы'!$B:$B,"&gt;="&amp;ДДС!H$6),0)</f>
        <v>-6720000</v>
      </c>
      <c r="I19" s="69">
        <f>-IF(I$4="Эксплуатационная",SUMIFS('Расчёт.Постоянные расходы'!$I:$I,'Расчёт.Постоянные расходы'!$B:$B,"&lt;="&amp;ДДС!I$7,'Расчёт.Постоянные расходы'!$B:$B,"&gt;="&amp;ДДС!I$6),0)</f>
        <v>-1120000</v>
      </c>
    </row>
    <row r="20" spans="2:9" ht="16.5" thickTop="1" thickBot="1" x14ac:dyDescent="0.3">
      <c r="B20" s="75" t="s">
        <v>67</v>
      </c>
      <c r="C20" s="69"/>
      <c r="D20" s="69">
        <f>IF(D$4="Эксплуатационная",-SUMIFS(Персонал!$V:$V,Персонал!$O:$O,"&gt;="&amp;ДДС!D6,Персонал!$O:$O,"&lt;="&amp;ДДС!D7),0)</f>
        <v>-5109000</v>
      </c>
      <c r="E20" s="69">
        <f>IF(E$4="Эксплуатационная",-SUMIFS(Персонал!$V:$V,Персонал!$O:$O,"&gt;="&amp;ДДС!E6,Персонал!$O:$O,"&lt;="&amp;ДДС!E7),0)</f>
        <v>-7254000</v>
      </c>
      <c r="F20" s="69">
        <f>IF(F$4="Эксплуатационная",-SUMIFS(Персонал!$V:$V,Персонал!$O:$O,"&gt;="&amp;ДДС!F6,Персонал!$O:$O,"&lt;="&amp;ДДС!F7),0)</f>
        <v>-7254000</v>
      </c>
      <c r="G20" s="69">
        <f>IF(G$4="Эксплуатационная",-SUMIFS(Персонал!$V:$V,Персонал!$O:$O,"&gt;="&amp;ДДС!G6,Персонал!$O:$O,"&lt;="&amp;ДДС!G7),0)</f>
        <v>-7254000</v>
      </c>
      <c r="H20" s="69">
        <f>IF(H$4="Эксплуатационная",-SUMIFS(Персонал!$V:$V,Персонал!$O:$O,"&gt;="&amp;ДДС!H6,Персонал!$O:$O,"&lt;="&amp;ДДС!H7),0)</f>
        <v>-7254000</v>
      </c>
      <c r="I20" s="69">
        <f>IF(I$4="Эксплуатационная",-SUMIFS(Персонал!$V:$V,Персонал!$O:$O,"&gt;="&amp;ДДС!I6,Персонал!$O:$O,"&lt;="&amp;ДДС!I7),0)</f>
        <v>-1209000</v>
      </c>
    </row>
    <row r="21" spans="2:9" ht="16.5" thickTop="1" thickBot="1" x14ac:dyDescent="0.3">
      <c r="B21" s="75" t="s">
        <v>396</v>
      </c>
      <c r="C21" s="69"/>
      <c r="D21" s="69">
        <f>IF(D$4="Эксплуатационная",SUMIFS(Расчёт.ПрибылиПоПодразделениям!$N:$N,Расчёт.ПрибылиПоПодразделениям!$B:$B,"&gt;="&amp;ДДС!D6,Расчёт.ПрибылиПоПодразделениям!$B:$B,"&lt;="&amp;ДДС!D7),0)</f>
        <v>-172974.8340909089</v>
      </c>
      <c r="E21" s="69">
        <f>IF(E$4="Эксплуатационная",SUMIFS(Расчёт.ПрибылиПоПодразделениям!$N:$N,Расчёт.ПрибылиПоПодразделениям!$B:$B,"&gt;="&amp;ДДС!E6,Расчёт.ПрибылиПоПодразделениям!$B:$B,"&lt;="&amp;ДДС!E7),0)</f>
        <v>-512805.40749999951</v>
      </c>
      <c r="F21" s="69">
        <f>IF(F$4="Эксплуатационная",SUMIFS(Расчёт.ПрибылиПоПодразделениям!$N:$N,Расчёт.ПрибылиПоПодразделениям!$B:$B,"&gt;="&amp;ДДС!F6,Расчёт.ПрибылиПоПодразделениям!$B:$B,"&lt;="&amp;ДДС!F7),0)</f>
        <v>-704105.40749999951</v>
      </c>
      <c r="G21" s="69">
        <f>IF(G$4="Эксплуатационная",SUMIFS(Расчёт.ПрибылиПоПодразделениям!$N:$N,Расчёт.ПрибылиПоПодразделениям!$B:$B,"&gt;="&amp;ДДС!G6,Расчёт.ПрибылиПоПодразделениям!$B:$B,"&lt;="&amp;ДДС!G7),0)</f>
        <v>-704105.40749999951</v>
      </c>
      <c r="H21" s="69">
        <f>IF(H$4="Эксплуатационная",SUMIFS(Расчёт.ПрибылиПоПодразделениям!$N:$N,Расчёт.ПрибылиПоПодразделениям!$B:$B,"&gt;="&amp;ДДС!H6,Расчёт.ПрибылиПоПодразделениям!$B:$B,"&lt;="&amp;ДДС!H7),0)</f>
        <v>-704105.40749999951</v>
      </c>
      <c r="I21" s="69">
        <f>IF(I$4="Эксплуатационная",SUMIFS(Расчёт.ПрибылиПоПодразделениям!$N:$N,Расчёт.ПрибылиПоПодразделениям!$B:$B,"&gt;="&amp;ДДС!I6,Расчёт.ПрибылиПоПодразделениям!$B:$B,"&lt;="&amp;ДДС!I7),0)</f>
        <v>-161101.54499999987</v>
      </c>
    </row>
    <row r="22" spans="2:9" ht="16.5" thickTop="1" thickBot="1" x14ac:dyDescent="0.3">
      <c r="B22" s="76" t="s">
        <v>74</v>
      </c>
      <c r="C22" s="69">
        <f>SUM(C23:C26)</f>
        <v>0</v>
      </c>
      <c r="D22" s="69">
        <f t="shared" ref="D22:F22" si="5">SUM(D23:D26)</f>
        <v>3575000</v>
      </c>
      <c r="E22" s="69">
        <f t="shared" si="5"/>
        <v>-2326041.666666666</v>
      </c>
      <c r="F22" s="69">
        <f t="shared" si="5"/>
        <v>-2051041.6666666663</v>
      </c>
      <c r="G22" s="69">
        <f t="shared" ref="G22" si="6">SUM(G23:G26)</f>
        <v>-469791.66666666657</v>
      </c>
      <c r="H22" s="69">
        <f t="shared" ref="H22" si="7">SUM(H23:H26)</f>
        <v>0</v>
      </c>
      <c r="I22" s="69">
        <f t="shared" ref="I22" si="8">SUM(I23:I26)</f>
        <v>0</v>
      </c>
    </row>
    <row r="23" spans="2:9" ht="16.5" thickTop="1" thickBot="1" x14ac:dyDescent="0.3">
      <c r="B23" s="74" t="s">
        <v>68</v>
      </c>
      <c r="C23" s="69">
        <f>IF(C$4="Эксплуатационная",SUMIFS('Заёмные средства'!$K:$K,'Заёмные средства'!$F:$F,"&lt;="&amp;ДДС!C7,'Заёмные средства'!$F:$F,"&gt;="&amp;ДДС!C6),0)</f>
        <v>0</v>
      </c>
      <c r="D23" s="69">
        <f>IF(D$4="Эксплуатационная",SUMIFS('Заёмные средства'!$K:$K,'Заёмные средства'!$F:$F,"&lt;="&amp;ДДС!D7,'Заёмные средства'!$F:$F,"&gt;="&amp;ДДС!D6),0)</f>
        <v>5500000</v>
      </c>
      <c r="E23" s="69">
        <f>IF(E$4="Эксплуатационная",SUMIFS('Заёмные средства'!$K:$K,'Заёмные средства'!$F:$F,"&lt;="&amp;ДДС!E7,'Заёмные средства'!$F:$F,"&gt;="&amp;ДДС!E6),0)</f>
        <v>0</v>
      </c>
      <c r="F23" s="69">
        <f>IF(F$4="Эксплуатационная",SUMIFS('Заёмные средства'!$K:$K,'Заёмные средства'!$F:$F,"&lt;="&amp;ДДС!F7,'Заёмные средства'!$F:$F,"&gt;="&amp;ДДС!F6),0)</f>
        <v>0</v>
      </c>
      <c r="G23" s="69">
        <f>IF(G$4="Эксплуатационная",SUMIFS('Заёмные средства'!$K:$K,'Заёмные средства'!$F:$F,"&lt;="&amp;ДДС!G7,'Заёмные средства'!$F:$F,"&gt;="&amp;ДДС!G6),0)</f>
        <v>0</v>
      </c>
      <c r="H23" s="69">
        <f>IF(H$4="Эксплуатационная",SUMIFS('Заёмные средства'!$K:$K,'Заёмные средства'!$F:$F,"&lt;="&amp;ДДС!H7,'Заёмные средства'!$F:$F,"&gt;="&amp;ДДС!H6),0)</f>
        <v>0</v>
      </c>
      <c r="I23" s="69">
        <f>IF(I$4="Эксплуатационная",SUMIFS('Заёмные средства'!$K:$K,'Заёмные средства'!$F:$F,"&lt;="&amp;ДДС!I7,'Заёмные средства'!$F:$F,"&gt;="&amp;ДДС!I6),0)</f>
        <v>0</v>
      </c>
    </row>
    <row r="24" spans="2:9" ht="16.5" thickTop="1" thickBot="1" x14ac:dyDescent="0.3">
      <c r="B24" s="74" t="s">
        <v>69</v>
      </c>
      <c r="C24" s="69">
        <f>IF(C$4="Эксплуатационная",SUMIFS('Заёмные средства'!$L:$L,'Заёмные средства'!$F:$F,"&lt;="&amp;ДДС!C8,'Заёмные средства'!$F:$F,"&gt;="&amp;ДДС!C7)+SUMIFS('Заёмные средства'!$N:$N,'Заёмные средства'!$F:$F,"&lt;="&amp;ДДС!C8,'Заёмные средства'!$F:$F,"&gt;="&amp;ДДС!C7),0)</f>
        <v>0</v>
      </c>
      <c r="D24" s="69">
        <f>IF(D$4="Эксплуатационная",SUMIFS('Заёмные средства'!$L:$L,'Заёмные средства'!$F:$F,"&lt;="&amp;ДДС!D7,'Заёмные средства'!$F:$F,"&gt;="&amp;ДДС!D6)+SUMIFS('Заёмные средства'!$N:$N,'Заёмные средства'!$F:$F,"&lt;="&amp;ДДС!D7,'Заёмные средства'!$F:$F,"&gt;="&amp;ДДС!D6),0)</f>
        <v>-1374999.9999999998</v>
      </c>
      <c r="E24" s="69">
        <f>IF(E$4="Эксплуатационная",SUMIFS('Заёмные средства'!$L:$L,'Заёмные средства'!$F:$F,"&lt;="&amp;ДДС!E7,'Заёмные средства'!$F:$F,"&gt;="&amp;ДДС!E6)+SUMIFS('Заёмные средства'!$N:$N,'Заёмные средства'!$F:$F,"&lt;="&amp;ДДС!E7,'Заёмные средства'!$F:$F,"&gt;="&amp;ДДС!E6),0)</f>
        <v>-1833333.333333333</v>
      </c>
      <c r="F24" s="69">
        <f>IF(F$4="Эксплуатационная",SUMIFS('Заёмные средства'!$L:$L,'Заёмные средства'!$F:$F,"&lt;="&amp;ДДС!F7,'Заёмные средства'!$F:$F,"&gt;="&amp;ДДС!F6)+SUMIFS('Заёмные средства'!$N:$N,'Заёмные средства'!$F:$F,"&lt;="&amp;ДДС!F7,'Заёмные средства'!$F:$F,"&gt;="&amp;ДДС!F6),0)</f>
        <v>-1833333.333333333</v>
      </c>
      <c r="G24" s="69">
        <f>IF(G$4="Эксплуатационная",SUMIFS('Заёмные средства'!$L:$L,'Заёмные средства'!$F:$F,"&lt;="&amp;ДДС!G7,'Заёмные средства'!$F:$F,"&gt;="&amp;ДДС!G6)+SUMIFS('Заёмные средства'!$N:$N,'Заёмные средства'!$F:$F,"&lt;="&amp;ДДС!G7,'Заёмные средства'!$F:$F,"&gt;="&amp;ДДС!G6),0)</f>
        <v>-458333.33333333326</v>
      </c>
      <c r="H24" s="69">
        <f>IF(H$4="Эксплуатационная",SUMIFS('Заёмные средства'!$L:$L,'Заёмные средства'!$F:$F,"&lt;="&amp;ДДС!H$7,'Заёмные средства'!$F:$F,"&gt;="&amp;ДДС!H$6)+SUMIFS('Заёмные средства'!$N:$N,'Заёмные средства'!$F:$F,"&lt;="&amp;ДДС!H$7,'Заёмные средства'!$F:$F,"&gt;="&amp;ДДС!H$6),0)</f>
        <v>0</v>
      </c>
      <c r="I24" s="69">
        <f>IF(I$4="Эксплуатационная",SUMIFS('Заёмные средства'!$L:$L,'Заёмные средства'!$F:$F,"&lt;="&amp;ДДС!I$7,'Заёмные средства'!$F:$F,"&gt;="&amp;ДДС!I$6)+SUMIFS('Заёмные средства'!$N:$N,'Заёмные средства'!$F:$F,"&lt;="&amp;ДДС!I$7,'Заёмные средства'!$F:$F,"&gt;="&amp;ДДС!I$6),0)</f>
        <v>0</v>
      </c>
    </row>
    <row r="25" spans="2:9" ht="16.5" thickTop="1" thickBot="1" x14ac:dyDescent="0.3">
      <c r="B25" s="74" t="s">
        <v>70</v>
      </c>
      <c r="C25" s="69"/>
      <c r="D25" s="69">
        <f>IF(D$4="Эксплуатационная",SUMIFS('Заёмные средства'!$Q:$Q,'Заёмные средства'!$F:$F,"&lt;="&amp;ДДС!D$7,'Заёмные средства'!$F:$F,"&gt;="&amp;ДДС!D$6),0)</f>
        <v>-549999.99999999988</v>
      </c>
      <c r="E25" s="69">
        <f>IF(E$4="Эксплуатационная",SUMIFS('Заёмные средства'!$Q:$Q,'Заёмные средства'!$F:$F,"&lt;="&amp;ДДС!E$7,'Заёмные средства'!$F:$F,"&gt;="&amp;ДДС!E$6),0)</f>
        <v>-492708.3333333332</v>
      </c>
      <c r="F25" s="69">
        <f>IF(F$4="Эксплуатационная",SUMIFS('Заёмные средства'!$Q:$Q,'Заёмные средства'!$F:$F,"&lt;="&amp;ДДС!F$7,'Заёмные средства'!$F:$F,"&gt;="&amp;ДДС!F$6),0)</f>
        <v>-217708.33333333331</v>
      </c>
      <c r="G25" s="69">
        <f>IF(G$4="Эксплуатационная",SUMIFS('Заёмные средства'!$Q:$Q,'Заёмные средства'!$F:$F,"&lt;="&amp;ДДС!G$7,'Заёмные средства'!$F:$F,"&gt;="&amp;ДДС!G$6),0)</f>
        <v>-11458.333333333332</v>
      </c>
      <c r="H25" s="69">
        <f>IF(H$4="Эксплуатационная",SUMIFS('Заёмные средства'!$Q:$Q,'Заёмные средства'!$F:$F,"&lt;="&amp;ДДС!H$7,'Заёмные средства'!$F:$F,"&gt;="&amp;ДДС!H$6),0)</f>
        <v>0</v>
      </c>
      <c r="I25" s="69">
        <f>IF(I$4="Эксплуатационная",SUMIFS('Заёмные средства'!$Q:$Q,'Заёмные средства'!$F:$F,"&lt;="&amp;ДДС!I$7,'Заёмные средства'!$F:$F,"&gt;="&amp;ДДС!I$6),0)</f>
        <v>0</v>
      </c>
    </row>
    <row r="26" spans="2:9" ht="16.5" thickTop="1" thickBot="1" x14ac:dyDescent="0.3">
      <c r="B26" s="74" t="s">
        <v>146</v>
      </c>
      <c r="C26" s="69"/>
      <c r="D26" s="69"/>
      <c r="E26" s="69"/>
      <c r="F26" s="69"/>
      <c r="G26" s="69"/>
      <c r="H26" s="69"/>
      <c r="I26" s="69"/>
    </row>
    <row r="27" spans="2:9" ht="15.75" thickTop="1" x14ac:dyDescent="0.25">
      <c r="B27" s="73"/>
    </row>
    <row r="28" spans="2:9" x14ac:dyDescent="0.25">
      <c r="B28" s="129" t="s">
        <v>147</v>
      </c>
      <c r="C28" s="129">
        <f t="shared" ref="C28:I28" si="9">SUM(C13:C18)+C22</f>
        <v>-5175691</v>
      </c>
      <c r="D28" s="129">
        <f t="shared" si="9"/>
        <v>6007981.2770201992</v>
      </c>
      <c r="E28" s="129">
        <f t="shared" si="9"/>
        <v>6073013.9298493918</v>
      </c>
      <c r="F28" s="129">
        <f t="shared" si="9"/>
        <v>7162373.9298493881</v>
      </c>
      <c r="G28" s="129">
        <f t="shared" si="9"/>
        <v>8743623.9298493881</v>
      </c>
      <c r="H28" s="129">
        <f t="shared" si="9"/>
        <v>9213415.5965160541</v>
      </c>
      <c r="I28" s="129">
        <f t="shared" si="9"/>
        <v>1960832.5112248985</v>
      </c>
    </row>
    <row r="29" spans="2:9" x14ac:dyDescent="0.25">
      <c r="B29" s="129" t="s">
        <v>145</v>
      </c>
      <c r="C29" s="129">
        <f>C28</f>
        <v>-5175691</v>
      </c>
      <c r="D29" s="129">
        <f>C29+D28</f>
        <v>832290.27702019922</v>
      </c>
      <c r="E29" s="129">
        <f>D29+E28</f>
        <v>6905304.206869591</v>
      </c>
      <c r="F29" s="129">
        <f t="shared" ref="F29" si="10">E29+F28</f>
        <v>14067678.136718979</v>
      </c>
      <c r="G29" s="129">
        <f t="shared" ref="G29:H29" si="11">F29+G28</f>
        <v>22811302.066568367</v>
      </c>
      <c r="H29" s="129">
        <f t="shared" si="11"/>
        <v>32024717.663084421</v>
      </c>
      <c r="I29" s="129">
        <f t="shared" ref="I29" si="12">G29+I28</f>
        <v>24772134.577793267</v>
      </c>
    </row>
    <row r="30" spans="2:9" x14ac:dyDescent="0.25">
      <c r="B30" s="129" t="s">
        <v>117</v>
      </c>
      <c r="C30" s="129">
        <f>1/(1+Настройки!$I$20)^C6</f>
        <v>1</v>
      </c>
      <c r="D30" s="129">
        <f>1/(1+(Настройки!$I$20/12))^D7</f>
        <v>0.84764529108513276</v>
      </c>
      <c r="E30" s="129">
        <f>1/(1+(Настройки!$I$20/12))^E7</f>
        <v>0.69513817312434223</v>
      </c>
      <c r="F30" s="129">
        <f>1/(1+(Настройки!$I$20/12))^F7</f>
        <v>0.57006991582062194</v>
      </c>
      <c r="G30" s="129">
        <f>1/(1+(Настройки!$I$20/12))^G7</f>
        <v>0.46750375894779184</v>
      </c>
      <c r="H30" s="129">
        <f>1/(1+(Настройки!$I$20/12))^H7</f>
        <v>0.38339115705780746</v>
      </c>
      <c r="I30" s="129">
        <f>1/(1+(Настройки!$I$20/12))^I7</f>
        <v>0.37092398962862322</v>
      </c>
    </row>
    <row r="31" spans="2:9" x14ac:dyDescent="0.25">
      <c r="B31" s="129"/>
      <c r="C31" s="129"/>
      <c r="D31" s="129"/>
      <c r="E31" s="129"/>
      <c r="F31" s="129"/>
      <c r="G31" s="129"/>
      <c r="H31" s="129"/>
      <c r="I31" s="129"/>
    </row>
    <row r="32" spans="2:9" x14ac:dyDescent="0.25">
      <c r="B32" s="129" t="s">
        <v>118</v>
      </c>
      <c r="C32" s="129">
        <f>C28*C30</f>
        <v>-5175691</v>
      </c>
      <c r="D32" s="129">
        <f t="shared" ref="D32:E32" si="13">D28*D30</f>
        <v>5092637.0383938141</v>
      </c>
      <c r="E32" s="129">
        <f t="shared" si="13"/>
        <v>4221583.8085541883</v>
      </c>
      <c r="F32" s="129">
        <f t="shared" ref="F32" si="14">F28*F30</f>
        <v>4083053.9032650576</v>
      </c>
      <c r="G32" s="129">
        <f>G28*G30</f>
        <v>4087677.0540304529</v>
      </c>
      <c r="H32" s="129">
        <f>H28*H30</f>
        <v>3532342.0660027391</v>
      </c>
      <c r="I32" s="129">
        <f t="shared" ref="I32" si="15">I28*I30</f>
        <v>727319.81805705151</v>
      </c>
    </row>
    <row r="33" spans="2:9" x14ac:dyDescent="0.25">
      <c r="B33" s="129" t="s">
        <v>119</v>
      </c>
      <c r="C33" s="129">
        <f>C32</f>
        <v>-5175691</v>
      </c>
      <c r="D33" s="129">
        <f>C33+D32</f>
        <v>-83053.961606185883</v>
      </c>
      <c r="E33" s="129">
        <f>D33+E32</f>
        <v>4138529.8469480025</v>
      </c>
      <c r="F33" s="129">
        <f t="shared" ref="F33:I33" si="16">E33+F32</f>
        <v>8221583.7502130605</v>
      </c>
      <c r="G33" s="129">
        <f t="shared" si="16"/>
        <v>12309260.804243512</v>
      </c>
      <c r="H33" s="129">
        <f t="shared" si="16"/>
        <v>15841602.870246252</v>
      </c>
      <c r="I33" s="129">
        <f t="shared" si="16"/>
        <v>16568922.688303303</v>
      </c>
    </row>
    <row r="34" spans="2:9" x14ac:dyDescent="0.25">
      <c r="B34" s="67"/>
      <c r="C34" s="67"/>
      <c r="D34" s="67"/>
      <c r="E34" s="67"/>
      <c r="F34" s="67"/>
      <c r="G34" s="67"/>
      <c r="H34" s="67"/>
      <c r="I34" s="67"/>
    </row>
    <row r="35" spans="2:9" x14ac:dyDescent="0.25">
      <c r="B35" s="129" t="s">
        <v>176</v>
      </c>
      <c r="C35" s="129">
        <f>C13+C15+C18</f>
        <v>-5175691</v>
      </c>
      <c r="D35" s="129">
        <f t="shared" ref="D35:I35" si="17">C35+SUM(D13,D18,D15,D16,D17)</f>
        <v>-3249774.1674242448</v>
      </c>
      <c r="E35" s="129">
        <f t="shared" si="17"/>
        <v>4879608.0957584828</v>
      </c>
      <c r="F35" s="129">
        <f t="shared" si="17"/>
        <v>14093023.692274539</v>
      </c>
      <c r="G35" s="129">
        <f t="shared" si="17"/>
        <v>23306439.288790595</v>
      </c>
      <c r="H35" s="129">
        <f t="shared" si="17"/>
        <v>32519854.885306649</v>
      </c>
      <c r="I35" s="129">
        <f t="shared" si="17"/>
        <v>34480687.396531545</v>
      </c>
    </row>
  </sheetData>
  <mergeCells count="1">
    <mergeCell ref="B1:D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'План продаж'!$E:$E</xm:f>
          </x14:formula1>
          <xm:sqref>C8:I8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29D5D-1987-4071-A718-9501E20D7DDD}">
  <sheetPr>
    <tabColor rgb="FF7030A0"/>
  </sheetPr>
  <dimension ref="B1:J37"/>
  <sheetViews>
    <sheetView workbookViewId="0">
      <selection activeCell="C10" sqref="C10"/>
    </sheetView>
  </sheetViews>
  <sheetFormatPr defaultRowHeight="15" x14ac:dyDescent="0.25"/>
  <cols>
    <col min="1" max="1" width="9.140625" style="1"/>
    <col min="2" max="2" width="32.140625" style="1" customWidth="1"/>
    <col min="3" max="3" width="10.42578125" style="1" bestFit="1" customWidth="1"/>
    <col min="4" max="7" width="13" style="1" bestFit="1" customWidth="1"/>
    <col min="8" max="8" width="10.140625" style="1" bestFit="1" customWidth="1"/>
    <col min="9" max="9" width="13" style="1" bestFit="1" customWidth="1"/>
    <col min="10" max="10" width="12" style="1" bestFit="1" customWidth="1"/>
    <col min="11" max="11" width="13.28515625" style="1" bestFit="1" customWidth="1"/>
    <col min="12" max="16384" width="9.140625" style="1"/>
  </cols>
  <sheetData>
    <row r="1" spans="2:10" ht="21" x14ac:dyDescent="0.35">
      <c r="B1" s="43" t="s">
        <v>172</v>
      </c>
    </row>
    <row r="2" spans="2:10" ht="12" customHeight="1" x14ac:dyDescent="0.35">
      <c r="B2" s="95"/>
      <c r="C2" s="95"/>
      <c r="D2" s="95"/>
      <c r="E2" s="95"/>
      <c r="F2" s="95"/>
      <c r="G2" s="95"/>
      <c r="H2" s="95"/>
      <c r="I2" s="95"/>
      <c r="J2" s="95"/>
    </row>
    <row r="4" spans="2:10" ht="16.5" thickBot="1" x14ac:dyDescent="0.3">
      <c r="B4" s="80"/>
      <c r="C4" s="65"/>
      <c r="D4" s="65"/>
      <c r="E4" s="65"/>
      <c r="F4" s="65"/>
      <c r="G4" s="65"/>
      <c r="H4" s="65"/>
      <c r="I4" s="65"/>
    </row>
    <row r="5" spans="2:10" ht="17.25" thickTop="1" thickBot="1" x14ac:dyDescent="0.3">
      <c r="B5" s="80"/>
      <c r="C5" s="65"/>
      <c r="D5" s="65"/>
      <c r="E5" s="236">
        <f>YEAR(ДатаНачала)</f>
        <v>2018</v>
      </c>
      <c r="F5" s="236">
        <f>E5+1</f>
        <v>2019</v>
      </c>
      <c r="G5" s="236">
        <f t="shared" ref="G5:J5" si="0">F5+1</f>
        <v>2020</v>
      </c>
      <c r="H5" s="236">
        <f t="shared" si="0"/>
        <v>2021</v>
      </c>
      <c r="I5" s="236">
        <f t="shared" si="0"/>
        <v>2022</v>
      </c>
      <c r="J5" s="236">
        <f t="shared" si="0"/>
        <v>2023</v>
      </c>
    </row>
    <row r="6" spans="2:10" ht="16.5" thickTop="1" x14ac:dyDescent="0.25">
      <c r="B6" s="80"/>
      <c r="C6" s="65"/>
      <c r="D6" s="65"/>
      <c r="E6" s="65"/>
      <c r="F6" s="65"/>
      <c r="G6" s="65"/>
      <c r="H6" s="65"/>
      <c r="I6" s="65"/>
    </row>
    <row r="7" spans="2:10" ht="15.75" x14ac:dyDescent="0.25">
      <c r="B7" s="80"/>
      <c r="C7" s="234" t="s">
        <v>401</v>
      </c>
      <c r="D7" s="65"/>
      <c r="E7" s="65"/>
      <c r="F7" s="65"/>
      <c r="G7" s="65"/>
      <c r="H7" s="65"/>
      <c r="I7" s="65"/>
    </row>
    <row r="8" spans="2:10" ht="21" customHeight="1" x14ac:dyDescent="0.25">
      <c r="B8" s="233" t="s">
        <v>177</v>
      </c>
      <c r="C8" s="235">
        <v>0.05</v>
      </c>
      <c r="D8" s="65"/>
      <c r="E8" s="225">
        <f>SUMIFS(Расчёт.Окупаемости_АнализЧув!$F:$F,Расчёт.Окупаемости_АнализЧув!$D:$D,'Анализ чувствительности'!E$5,Расчёт.Окупаемости_АнализЧув!$C:$C,12)</f>
        <v>-258784.54999999981</v>
      </c>
      <c r="F8" s="225">
        <f>SUMIFS(Расчёт.Окупаемости_АнализЧув!$F:$F,Расчёт.Окупаемости_АнализЧув!$D:$D,'Анализ чувствительности'!F$5,Расчёт.Окупаемости_АнализЧув!$C:$C,12)</f>
        <v>-258784.54999999981</v>
      </c>
      <c r="G8" s="225">
        <f>SUMIFS(Расчёт.Окупаемости_АнализЧув!$F:$F,Расчёт.Окупаемости_АнализЧув!$D:$D,'Анализ чувствительности'!G$5,Расчёт.Окупаемости_АнализЧув!$C:$C,12)</f>
        <v>-258784.54999999981</v>
      </c>
      <c r="H8" s="225">
        <f>SUMIFS(Расчёт.Окупаемости_АнализЧув!$F:$F,Расчёт.Окупаемости_АнализЧув!$D:$D,'Анализ чувствительности'!H$5,Расчёт.Окупаемости_АнализЧув!$C:$C,12)</f>
        <v>-258784.54999999981</v>
      </c>
      <c r="I8" s="225">
        <f>SUMIFS(Расчёт.Окупаемости_АнализЧув!$F:$F,Расчёт.Окупаемости_АнализЧув!$D:$D,'Анализ чувствительности'!I$5,Расчёт.Окупаемости_АнализЧув!$C:$C,12)</f>
        <v>-258784.54999999981</v>
      </c>
      <c r="J8" s="225">
        <f>Расчёт.Окупаемости_АнализЧув!F67</f>
        <v>-258784.54999999981</v>
      </c>
    </row>
    <row r="9" spans="2:10" ht="21" customHeight="1" x14ac:dyDescent="0.25">
      <c r="B9" s="233" t="s">
        <v>403</v>
      </c>
      <c r="C9" s="235">
        <v>0.05</v>
      </c>
      <c r="D9" s="65"/>
      <c r="E9" s="225">
        <f>SUMIFS(Расчёт.Окупаемости_АнализЧув!$K:$K,Расчёт.Окупаемости_АнализЧув!$D:$D,'Анализ чувствительности'!E$5,Расчёт.Окупаемости_АнализЧув!$C:$C,12)</f>
        <v>640394.58333333395</v>
      </c>
      <c r="F9" s="225">
        <f>SUMIFS(Расчёт.Окупаемости_АнализЧув!$K:$K,Расчёт.Окупаемости_АнализЧув!$D:$D,'Анализ чувствительности'!F$5,Расчёт.Окупаемости_АнализЧув!$C:$C,12)</f>
        <v>1786683.75</v>
      </c>
      <c r="G9" s="225">
        <f>SUMIFS(Расчёт.Окупаемости_АнализЧув!$K:$K,Расчёт.Окупаемости_АнализЧув!$D:$D,'Анализ чувствительности'!G$5,Расчёт.Окупаемости_АнализЧув!$C:$C,12)</f>
        <v>2996739.5833333358</v>
      </c>
      <c r="H9" s="225">
        <f>SUMIFS(Расчёт.Окупаемости_АнализЧув!$K:$K,Расчёт.Окупаемости_АнализЧув!$D:$D,'Анализ чувствительности'!H$5,Расчёт.Окупаемости_АнализЧув!$C:$C,12)</f>
        <v>4206795.4166666716</v>
      </c>
      <c r="I9" s="225">
        <f>SUMIFS(Расчёт.Окупаемости_АнализЧув!$K:$K,Расчёт.Окупаемости_АнализЧув!$D:$D,'Анализ чувствительности'!I$5,Расчёт.Окупаемости_АнализЧув!$C:$C,12)</f>
        <v>5416851.25</v>
      </c>
      <c r="J9" s="225">
        <f>Расчёт.Окупаемости_АнализЧув!K67</f>
        <v>5641977.9166666716</v>
      </c>
    </row>
    <row r="10" spans="2:10" ht="15.75" x14ac:dyDescent="0.25">
      <c r="B10" s="233" t="s">
        <v>402</v>
      </c>
      <c r="C10" s="235">
        <v>0.03</v>
      </c>
      <c r="D10" s="65"/>
      <c r="E10" s="225">
        <f>SUMIFS(Расчёт.Окупаемости_АнализЧув!$O:$O,Расчёт.Окупаемости_АнализЧув!$D:$D,'Анализ чувствительности'!E$5,Расчёт.Окупаемости_АнализЧув!$C:$C,12)</f>
        <v>-326459.24502272729</v>
      </c>
      <c r="F10" s="225">
        <f>SUMIFS(Расчёт.Окупаемости_АнализЧув!$O:$O,Расчёт.Окупаемости_АнализЧув!$D:$D,'Анализ чувствительности'!F$5,Расчёт.Окупаемости_АнализЧув!$C:$C,12)</f>
        <v>-761063.40724772727</v>
      </c>
      <c r="G10" s="225">
        <f>SUMIFS(Расчёт.Окупаемости_АнализЧув!$O:$O,Расчёт.Окупаемости_АнализЧув!$D:$D,'Анализ чувствительности'!G$5,Расчёт.Окупаемости_АнализЧув!$C:$C,12)</f>
        <v>-1201406.5694727274</v>
      </c>
      <c r="H10" s="225">
        <f>SUMIFS(Расчёт.Окупаемости_АнализЧув!$O:$O,Расчёт.Окупаемости_АнализЧув!$D:$D,'Анализ чувствительности'!H$5,Расчёт.Окупаемости_АнализЧув!$C:$C,12)</f>
        <v>-1641749.7316977272</v>
      </c>
      <c r="I10" s="225">
        <f>SUMIFS(Расчёт.Окупаемости_АнализЧув!$O:$O,Расчёт.Окупаемости_АнализЧув!$D:$D,'Анализ чувствительности'!I$5,Расчёт.Окупаемости_АнализЧув!$C:$C,12)</f>
        <v>-2082092.8939227271</v>
      </c>
      <c r="J10" s="225">
        <f>Расчёт.Окупаемости_АнализЧув!O67</f>
        <v>-2156795.9402727275</v>
      </c>
    </row>
    <row r="11" spans="2:10" ht="15.75" x14ac:dyDescent="0.25">
      <c r="B11" s="80"/>
      <c r="C11" s="65"/>
      <c r="D11" s="65"/>
      <c r="E11" s="65"/>
      <c r="F11" s="65"/>
      <c r="G11" s="65"/>
      <c r="H11" s="65"/>
      <c r="I11" s="65"/>
    </row>
    <row r="12" spans="2:10" x14ac:dyDescent="0.25">
      <c r="B12" s="238" t="s">
        <v>410</v>
      </c>
      <c r="C12" s="238"/>
      <c r="D12" s="238"/>
      <c r="E12" s="239">
        <f>SUM(E8:E10)</f>
        <v>55150.788310606848</v>
      </c>
      <c r="F12" s="239">
        <f>SUM(F8:F10)</f>
        <v>766835.79275227292</v>
      </c>
      <c r="G12" s="239">
        <f t="shared" ref="G12:J12" si="1">SUM(G8:G10)</f>
        <v>1536548.4638606086</v>
      </c>
      <c r="H12" s="239">
        <f t="shared" si="1"/>
        <v>2306261.1349689448</v>
      </c>
      <c r="I12" s="239">
        <f t="shared" si="1"/>
        <v>3075973.8060772731</v>
      </c>
      <c r="J12" s="239">
        <f t="shared" si="1"/>
        <v>3226397.4263939443</v>
      </c>
    </row>
    <row r="13" spans="2:10" ht="15.75" x14ac:dyDescent="0.25">
      <c r="B13" s="80"/>
      <c r="C13" s="65"/>
      <c r="D13" s="65"/>
      <c r="E13" s="65"/>
      <c r="F13" s="65"/>
      <c r="G13" s="65"/>
      <c r="H13" s="65"/>
      <c r="I13" s="65"/>
    </row>
    <row r="14" spans="2:10" x14ac:dyDescent="0.25">
      <c r="B14" s="238" t="s">
        <v>411</v>
      </c>
      <c r="C14" s="238"/>
      <c r="D14" s="238"/>
      <c r="E14" s="239">
        <f>ДДС_Сценарий_2!C30-ДДС!D33</f>
        <v>-3023010.6544051454</v>
      </c>
      <c r="F14" s="239">
        <f>ДДС_Сценарий_2!D30-ДДС!E33</f>
        <v>-696159.12245764816</v>
      </c>
      <c r="G14" s="239">
        <f>ДДС_Сценарий_2!E30-ДДС!F33</f>
        <v>1088359.2387740575</v>
      </c>
      <c r="H14" s="239">
        <f>ДДС_Сценарий_2!F30-ДДС!G33</f>
        <v>1812569.3119590525</v>
      </c>
      <c r="I14" s="239">
        <f>ДДС_Сценарий_2!G30-ДДС!H33</f>
        <v>2226366.582861023</v>
      </c>
      <c r="J14" s="239">
        <f>ДДС_Сценарий_2!H30-ДДС!I33</f>
        <v>2301301.721970275</v>
      </c>
    </row>
    <row r="15" spans="2:10" ht="15.75" x14ac:dyDescent="0.25">
      <c r="B15" s="80"/>
      <c r="C15" s="65"/>
      <c r="D15" s="65"/>
      <c r="E15" s="65"/>
      <c r="F15" s="65"/>
      <c r="G15" s="65"/>
      <c r="H15" s="65"/>
      <c r="I15" s="65"/>
    </row>
    <row r="16" spans="2:10" ht="15.75" thickBot="1" x14ac:dyDescent="0.3">
      <c r="D16" s="65"/>
      <c r="E16" s="65"/>
      <c r="F16" s="65"/>
      <c r="G16" s="65"/>
      <c r="H16" s="65"/>
      <c r="I16" s="65"/>
    </row>
    <row r="17" spans="2:9" ht="17.25" thickTop="1" thickBot="1" x14ac:dyDescent="0.3">
      <c r="B17" s="80"/>
      <c r="C17" s="236" t="s">
        <v>415</v>
      </c>
      <c r="D17" s="236" t="s">
        <v>416</v>
      </c>
      <c r="E17" s="236" t="s">
        <v>418</v>
      </c>
      <c r="F17" s="65"/>
      <c r="G17" s="65"/>
      <c r="H17" s="65"/>
      <c r="I17" s="65"/>
    </row>
    <row r="18" spans="2:9" ht="16.5" thickTop="1" x14ac:dyDescent="0.25">
      <c r="B18" s="80" t="s">
        <v>414</v>
      </c>
      <c r="C18" s="240">
        <f>Расчёт.Окупаемости!E4</f>
        <v>15</v>
      </c>
      <c r="D18" s="242">
        <f>Расчёт.Окупаемости_АнализЧув!E4</f>
        <v>15</v>
      </c>
      <c r="E18" s="246">
        <f>C18-D18</f>
        <v>0</v>
      </c>
      <c r="F18" s="65"/>
      <c r="G18" s="65"/>
      <c r="H18" s="65"/>
      <c r="I18" s="65"/>
    </row>
    <row r="19" spans="2:9" ht="15.75" x14ac:dyDescent="0.25">
      <c r="B19" s="80" t="s">
        <v>417</v>
      </c>
      <c r="C19" s="243">
        <f>'Инвест показатели'!$F$13</f>
        <v>0.84718626330102809</v>
      </c>
      <c r="D19" s="244">
        <f>IRR(ДДС_Сценарий_2!B29:H29)</f>
        <v>0.73746120861936793</v>
      </c>
      <c r="E19" s="245">
        <f>D19-C19</f>
        <v>-0.10972505468166016</v>
      </c>
      <c r="F19" s="65"/>
      <c r="G19" s="65"/>
      <c r="H19" s="65"/>
      <c r="I19" s="65"/>
    </row>
    <row r="20" spans="2:9" ht="15.75" x14ac:dyDescent="0.25">
      <c r="B20" s="80"/>
      <c r="C20" s="65"/>
      <c r="D20" s="65"/>
      <c r="E20" s="65"/>
      <c r="F20" s="65"/>
      <c r="G20" s="65"/>
      <c r="H20" s="65"/>
      <c r="I20" s="65"/>
    </row>
    <row r="21" spans="2:9" ht="15.75" x14ac:dyDescent="0.25">
      <c r="B21" s="80" t="s">
        <v>135</v>
      </c>
      <c r="C21" s="225">
        <f>'Инвест показатели'!F14</f>
        <v>16568922.688303303</v>
      </c>
      <c r="D21" s="249">
        <f>SUM(ДДС_Сценарий_2!B29:H29)</f>
        <v>18870224.410273578</v>
      </c>
      <c r="E21" s="249">
        <f>D21-C21</f>
        <v>2301301.721970275</v>
      </c>
      <c r="F21" s="65"/>
      <c r="G21" s="65"/>
      <c r="H21" s="65"/>
      <c r="I21" s="65"/>
    </row>
    <row r="22" spans="2:9" ht="15.75" x14ac:dyDescent="0.25">
      <c r="B22" s="80"/>
      <c r="C22" s="65"/>
      <c r="D22" s="65"/>
      <c r="E22" s="65"/>
      <c r="F22" s="65"/>
      <c r="G22" s="65"/>
      <c r="H22" s="65"/>
      <c r="I22" s="65"/>
    </row>
    <row r="23" spans="2:9" ht="15.75" x14ac:dyDescent="0.25">
      <c r="B23" s="80"/>
      <c r="C23" s="65"/>
      <c r="D23" s="65"/>
      <c r="E23" s="65"/>
      <c r="F23" s="65"/>
      <c r="G23" s="65"/>
      <c r="H23" s="65"/>
      <c r="I23" s="65"/>
    </row>
    <row r="24" spans="2:9" ht="15.75" x14ac:dyDescent="0.25">
      <c r="B24" s="80"/>
      <c r="C24" s="65"/>
      <c r="D24" s="65"/>
      <c r="E24" s="65"/>
      <c r="F24" s="65"/>
      <c r="G24" s="65"/>
      <c r="H24" s="65"/>
      <c r="I24" s="65"/>
    </row>
    <row r="25" spans="2:9" ht="15.75" x14ac:dyDescent="0.25">
      <c r="B25" s="80"/>
      <c r="C25" s="65"/>
      <c r="D25" s="65"/>
      <c r="E25" s="65"/>
      <c r="F25" s="65"/>
      <c r="G25" s="65"/>
      <c r="H25" s="65"/>
      <c r="I25" s="65"/>
    </row>
    <row r="26" spans="2:9" ht="15.75" x14ac:dyDescent="0.25">
      <c r="B26" s="80"/>
      <c r="C26" s="65"/>
      <c r="D26" s="65"/>
      <c r="E26" s="65"/>
      <c r="F26" s="65"/>
      <c r="G26" s="65"/>
      <c r="H26" s="65"/>
      <c r="I26" s="65"/>
    </row>
    <row r="27" spans="2:9" ht="15.75" x14ac:dyDescent="0.25">
      <c r="B27" s="80"/>
      <c r="C27" s="65"/>
      <c r="D27" s="65"/>
      <c r="E27" s="65"/>
      <c r="F27" s="65"/>
      <c r="G27" s="65"/>
      <c r="H27" s="65"/>
      <c r="I27" s="65"/>
    </row>
    <row r="28" spans="2:9" ht="15.75" x14ac:dyDescent="0.25">
      <c r="B28" s="80"/>
      <c r="C28" s="65"/>
      <c r="D28" s="65"/>
      <c r="E28" s="65"/>
      <c r="F28" s="65"/>
      <c r="G28" s="65"/>
      <c r="H28" s="65"/>
      <c r="I28" s="65"/>
    </row>
    <row r="29" spans="2:9" ht="15.75" x14ac:dyDescent="0.25">
      <c r="B29" s="80"/>
      <c r="C29" s="65"/>
      <c r="D29" s="65"/>
      <c r="E29" s="65"/>
      <c r="F29" s="65"/>
      <c r="G29" s="65"/>
      <c r="H29" s="65"/>
      <c r="I29" s="65"/>
    </row>
    <row r="30" spans="2:9" ht="15.75" x14ac:dyDescent="0.25">
      <c r="B30" s="80"/>
      <c r="C30" s="65"/>
      <c r="D30" s="65"/>
      <c r="E30" s="65"/>
      <c r="F30" s="65"/>
      <c r="G30" s="65"/>
      <c r="H30" s="65"/>
      <c r="I30" s="65"/>
    </row>
    <row r="31" spans="2:9" ht="15.75" x14ac:dyDescent="0.25">
      <c r="B31" s="80"/>
      <c r="C31" s="65"/>
      <c r="D31" s="65"/>
      <c r="E31" s="65"/>
      <c r="F31" s="65"/>
      <c r="G31" s="65"/>
      <c r="H31" s="65"/>
      <c r="I31" s="65"/>
    </row>
    <row r="32" spans="2:9" ht="15.75" x14ac:dyDescent="0.25">
      <c r="B32" s="80"/>
      <c r="C32" s="65"/>
      <c r="D32" s="65"/>
      <c r="E32" s="65"/>
      <c r="F32" s="65"/>
      <c r="G32" s="65"/>
      <c r="H32" s="65"/>
      <c r="I32" s="65"/>
    </row>
    <row r="33" spans="2:9" x14ac:dyDescent="0.25">
      <c r="B33" s="67"/>
      <c r="C33" s="67"/>
      <c r="D33" s="67"/>
      <c r="E33" s="67"/>
      <c r="F33" s="67"/>
      <c r="G33" s="67"/>
      <c r="H33" s="67"/>
      <c r="I33" s="67"/>
    </row>
    <row r="34" spans="2:9" x14ac:dyDescent="0.25">
      <c r="B34" s="81"/>
      <c r="C34" s="81"/>
      <c r="D34" s="231"/>
      <c r="E34" s="231"/>
      <c r="F34" s="231"/>
      <c r="G34" s="231"/>
      <c r="H34" s="231"/>
      <c r="I34" s="231"/>
    </row>
    <row r="35" spans="2:9" x14ac:dyDescent="0.25">
      <c r="D35" s="58"/>
      <c r="E35" s="58"/>
      <c r="F35" s="58"/>
      <c r="G35" s="58"/>
      <c r="H35" s="58"/>
      <c r="I35" s="58"/>
    </row>
    <row r="37" spans="2:9" x14ac:dyDescent="0.25">
      <c r="B37" s="129"/>
      <c r="C37" s="129"/>
      <c r="D37" s="129"/>
      <c r="E37" s="129"/>
      <c r="F37" s="129"/>
      <c r="G37" s="129"/>
      <c r="H37" s="129"/>
      <c r="I37" s="129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A53BB-D265-4AB1-9726-D0FC5EB27356}">
  <sheetPr>
    <tabColor rgb="FF7030A0"/>
  </sheetPr>
  <dimension ref="A1:H32"/>
  <sheetViews>
    <sheetView topLeftCell="A3" workbookViewId="0">
      <selection activeCell="G14" sqref="G14"/>
    </sheetView>
  </sheetViews>
  <sheetFormatPr defaultRowHeight="15" x14ac:dyDescent="0.25"/>
  <cols>
    <col min="1" max="1" width="38.85546875" bestFit="1" customWidth="1"/>
    <col min="2" max="2" width="25" bestFit="1" customWidth="1"/>
    <col min="3" max="8" width="22.42578125" bestFit="1" customWidth="1"/>
  </cols>
  <sheetData>
    <row r="1" spans="1:8" x14ac:dyDescent="0.25">
      <c r="A1" s="254" t="str">
        <f>ДДС!B1</f>
        <v>Отчёт о движение денежных средств по проекту</v>
      </c>
      <c r="B1" s="254">
        <f>ДДС!C1</f>
        <v>0</v>
      </c>
      <c r="C1" s="254">
        <f>ДДС!D1</f>
        <v>0</v>
      </c>
      <c r="D1" s="1"/>
      <c r="E1" s="1"/>
      <c r="F1" s="1"/>
      <c r="G1" s="1"/>
      <c r="H1" s="1"/>
    </row>
    <row r="2" spans="1:8" ht="10.5" customHeight="1" x14ac:dyDescent="0.35">
      <c r="A2" s="95"/>
      <c r="B2" s="95"/>
      <c r="C2" s="95"/>
      <c r="D2" s="95"/>
      <c r="E2" s="95"/>
      <c r="F2" s="95"/>
      <c r="G2" s="95"/>
      <c r="H2" s="95"/>
    </row>
    <row r="3" spans="1:8" ht="15.75" thickBot="1" x14ac:dyDescent="0.3">
      <c r="A3" s="71"/>
      <c r="B3" s="1"/>
      <c r="C3" s="1"/>
      <c r="D3" s="1"/>
      <c r="E3" s="1"/>
      <c r="F3" s="1"/>
      <c r="G3" s="1"/>
      <c r="H3" s="1"/>
    </row>
    <row r="4" spans="1:8" ht="16.5" thickTop="1" thickBot="1" x14ac:dyDescent="0.3">
      <c r="A4" s="71"/>
      <c r="B4" s="221" t="str">
        <f>ДДС!C4</f>
        <v>Прединвестиционная</v>
      </c>
      <c r="C4" s="221" t="str">
        <f>ДДС!D4</f>
        <v>Эксплуатационная</v>
      </c>
      <c r="D4" s="221" t="str">
        <f>ДДС!E4</f>
        <v>Эксплуатационная</v>
      </c>
      <c r="E4" s="221" t="str">
        <f>ДДС!F4</f>
        <v>Эксплуатационная</v>
      </c>
      <c r="F4" s="221" t="str">
        <f>ДДС!G4</f>
        <v>Эксплуатационная</v>
      </c>
      <c r="G4" s="221" t="str">
        <f>ДДС!H4</f>
        <v>Эксплуатационная</v>
      </c>
      <c r="H4" s="221" t="str">
        <f>ДДС!I4</f>
        <v>Эксплуатационная</v>
      </c>
    </row>
    <row r="5" spans="1:8" ht="16.5" thickTop="1" thickBot="1" x14ac:dyDescent="0.3">
      <c r="A5" s="71"/>
      <c r="B5" s="221">
        <f>ДДС!C5</f>
        <v>0</v>
      </c>
      <c r="C5" s="221">
        <f>ДДС!D5</f>
        <v>2018</v>
      </c>
      <c r="D5" s="221">
        <f>ДДС!E5</f>
        <v>2019</v>
      </c>
      <c r="E5" s="221">
        <f>ДДС!F5</f>
        <v>2020</v>
      </c>
      <c r="F5" s="221">
        <f>ДДС!G5</f>
        <v>2021</v>
      </c>
      <c r="G5" s="221">
        <f>ДДС!H5</f>
        <v>2022</v>
      </c>
      <c r="H5" s="221">
        <f>ДДС!I5</f>
        <v>2023</v>
      </c>
    </row>
    <row r="6" spans="1:8" ht="16.5" thickTop="1" thickBot="1" x14ac:dyDescent="0.3">
      <c r="A6" s="76" t="str">
        <f>ДДС!B6</f>
        <v>№ п/п периода начала</v>
      </c>
      <c r="B6" s="221">
        <f>ДДС!C6</f>
        <v>0</v>
      </c>
      <c r="C6" s="221">
        <f>ДДС!D6</f>
        <v>1</v>
      </c>
      <c r="D6" s="221">
        <f>ДДС!E6</f>
        <v>11</v>
      </c>
      <c r="E6" s="221">
        <f>ДДС!F6</f>
        <v>23</v>
      </c>
      <c r="F6" s="221">
        <f>ДДС!G6</f>
        <v>35</v>
      </c>
      <c r="G6" s="221">
        <f>ДДС!H6</f>
        <v>47</v>
      </c>
      <c r="H6" s="221">
        <f>ДДС!I6</f>
        <v>59</v>
      </c>
    </row>
    <row r="7" spans="1:8" ht="16.5" thickTop="1" thickBot="1" x14ac:dyDescent="0.3">
      <c r="A7" s="76" t="str">
        <f>ДДС!B7</f>
        <v>№ п/п периода окончания</v>
      </c>
      <c r="B7" s="221">
        <f>ДДС!C7</f>
        <v>0</v>
      </c>
      <c r="C7" s="221">
        <f>ДДС!D7</f>
        <v>10</v>
      </c>
      <c r="D7" s="221">
        <f>ДДС!E7</f>
        <v>22</v>
      </c>
      <c r="E7" s="221">
        <f>ДДС!F7</f>
        <v>34</v>
      </c>
      <c r="F7" s="221">
        <f>ДДС!G7</f>
        <v>46</v>
      </c>
      <c r="G7" s="221">
        <f>ДДС!H7</f>
        <v>58</v>
      </c>
      <c r="H7" s="221">
        <f>ДДС!I7</f>
        <v>60</v>
      </c>
    </row>
    <row r="8" spans="1:8" ht="16.5" thickTop="1" thickBot="1" x14ac:dyDescent="0.3">
      <c r="A8" s="76" t="str">
        <f>ДДС!B8</f>
        <v>Дата окончания</v>
      </c>
      <c r="B8" s="100">
        <f>ДДС!C8</f>
        <v>43159</v>
      </c>
      <c r="C8" s="100">
        <f>ДДС!D8</f>
        <v>43465</v>
      </c>
      <c r="D8" s="100">
        <f>ДДС!E8</f>
        <v>43830</v>
      </c>
      <c r="E8" s="100">
        <f>ДДС!F8</f>
        <v>44196</v>
      </c>
      <c r="F8" s="100">
        <f>ДДС!G8</f>
        <v>44561</v>
      </c>
      <c r="G8" s="100">
        <f>ДДС!H8</f>
        <v>44926</v>
      </c>
      <c r="H8" s="100">
        <f>ДДС!I8</f>
        <v>44985</v>
      </c>
    </row>
    <row r="9" spans="1:8" ht="16.5" thickTop="1" thickBot="1" x14ac:dyDescent="0.3">
      <c r="A9" s="1"/>
      <c r="B9" s="1"/>
      <c r="C9" s="1"/>
      <c r="D9" s="1"/>
      <c r="E9" s="1"/>
      <c r="F9" s="1"/>
      <c r="G9" s="1"/>
      <c r="H9" s="1"/>
    </row>
    <row r="10" spans="1:8" ht="30" thickTop="1" thickBot="1" x14ac:dyDescent="0.3">
      <c r="A10" s="76" t="str">
        <f>ДДС!B10</f>
        <v>Денежных средств на начало периода</v>
      </c>
      <c r="B10" s="70">
        <f>ДДС!C10</f>
        <v>0</v>
      </c>
      <c r="C10" s="69">
        <f>ДДС!D10</f>
        <v>-5175691</v>
      </c>
      <c r="D10" s="69">
        <f>ДДС!E10</f>
        <v>832290.27702019922</v>
      </c>
      <c r="E10" s="69">
        <f>ДДС!F10</f>
        <v>6905304.206869591</v>
      </c>
      <c r="F10" s="69">
        <f>ДДС!G10</f>
        <v>14067678.136718979</v>
      </c>
      <c r="G10" s="69">
        <f>ДДС!H10</f>
        <v>22811302.066568367</v>
      </c>
      <c r="H10" s="69">
        <f>ДДС!I10</f>
        <v>32024717.663084421</v>
      </c>
    </row>
    <row r="11" spans="1:8" ht="30" thickTop="1" thickBot="1" x14ac:dyDescent="0.3">
      <c r="A11" s="76" t="str">
        <f>ДДС!B11</f>
        <v>Денежных средств на конец периода</v>
      </c>
      <c r="B11" s="69">
        <f>ДДС!C11</f>
        <v>-5175691</v>
      </c>
      <c r="C11" s="69">
        <f>ДДС!D11</f>
        <v>832290.27702019922</v>
      </c>
      <c r="D11" s="69">
        <f>ДДС!E11</f>
        <v>6905304.206869591</v>
      </c>
      <c r="E11" s="69">
        <f>ДДС!F11</f>
        <v>14067678.136718979</v>
      </c>
      <c r="F11" s="69">
        <f>ДДС!G11</f>
        <v>22811302.066568367</v>
      </c>
      <c r="G11" s="69">
        <f>ДДС!H11</f>
        <v>32024717.663084421</v>
      </c>
      <c r="H11" s="69">
        <f>ДДС!I11</f>
        <v>33985550.174309321</v>
      </c>
    </row>
    <row r="12" spans="1:8" ht="16.5" thickTop="1" thickBot="1" x14ac:dyDescent="0.3">
      <c r="A12" s="1">
        <f>ДДС!B12</f>
        <v>0</v>
      </c>
      <c r="B12" s="1">
        <f>ДДС!C12</f>
        <v>0</v>
      </c>
      <c r="C12" s="1">
        <f>ДДС!D12</f>
        <v>0</v>
      </c>
      <c r="D12" s="1">
        <f>ДДС!E12</f>
        <v>0</v>
      </c>
      <c r="E12" s="1">
        <f>ДДС!F12</f>
        <v>0</v>
      </c>
      <c r="F12" s="1">
        <f>ДДС!G12</f>
        <v>0</v>
      </c>
      <c r="G12" s="1">
        <f>ДДС!H12</f>
        <v>0</v>
      </c>
      <c r="H12" s="1">
        <f>ДДС!I12</f>
        <v>0</v>
      </c>
    </row>
    <row r="13" spans="1:8" ht="16.5" thickTop="1" thickBot="1" x14ac:dyDescent="0.3">
      <c r="A13" s="76" t="str">
        <f>ДДС!B13</f>
        <v>I.Инвестиции</v>
      </c>
      <c r="B13" s="69">
        <f>ДДС!C13*(1+'Анализ чувствительности'!$C$8)</f>
        <v>-5434475.5499999998</v>
      </c>
      <c r="C13" s="69">
        <f>ДДС!D13</f>
        <v>0</v>
      </c>
      <c r="D13" s="69">
        <f>ДДС!E13</f>
        <v>0</v>
      </c>
      <c r="E13" s="69">
        <f>ДДС!F13</f>
        <v>0</v>
      </c>
      <c r="F13" s="69">
        <f>ДДС!G13</f>
        <v>0</v>
      </c>
      <c r="G13" s="69">
        <f>ДДС!H13</f>
        <v>0</v>
      </c>
      <c r="H13" s="69">
        <f>ДДС!I13</f>
        <v>0</v>
      </c>
    </row>
    <row r="14" spans="1:8" ht="16.5" thickTop="1" thickBot="1" x14ac:dyDescent="0.3">
      <c r="A14" s="76" t="s">
        <v>427</v>
      </c>
      <c r="B14" s="69"/>
      <c r="C14" s="69">
        <f>ДДС!D14</f>
        <v>507064.44444444461</v>
      </c>
      <c r="D14" s="69">
        <f>ДДС!E14</f>
        <v>269673.3333333336</v>
      </c>
      <c r="E14" s="69">
        <f>ДДС!F14</f>
        <v>0</v>
      </c>
      <c r="F14" s="69">
        <f>ДДС!G14</f>
        <v>0</v>
      </c>
      <c r="G14" s="69">
        <f>ДДС!H14</f>
        <v>0</v>
      </c>
      <c r="H14" s="69">
        <f>ДДС!I14</f>
        <v>0</v>
      </c>
    </row>
    <row r="15" spans="1:8" ht="30" thickTop="1" thickBot="1" x14ac:dyDescent="0.3">
      <c r="A15" s="76" t="str">
        <f>ДДС!B15</f>
        <v>II.Валовая прибыль от операционной деятельности</v>
      </c>
      <c r="B15" s="69">
        <f>ДДС!C15</f>
        <v>0</v>
      </c>
      <c r="C15" s="69">
        <f>ДДС!D15*(1+чувВП)</f>
        <v>13448286.249999998</v>
      </c>
      <c r="D15" s="69">
        <f>ДДС!E15*(1+чувВП)</f>
        <v>24072072.499999996</v>
      </c>
      <c r="E15" s="69">
        <f>ДДС!F15*(1+чувВП)</f>
        <v>25411172.499999989</v>
      </c>
      <c r="F15" s="69">
        <f>ДДС!G15*(1+чувВП)</f>
        <v>25411172.499999989</v>
      </c>
      <c r="G15" s="69">
        <f>ДДС!H15*(1+чувВП)</f>
        <v>25411172.499999989</v>
      </c>
      <c r="H15" s="69">
        <f>ДДС!I15*(1+чувВП)</f>
        <v>4727659.9999999991</v>
      </c>
    </row>
    <row r="16" spans="1:8" ht="16.5" thickTop="1" thickBot="1" x14ac:dyDescent="0.3">
      <c r="A16" s="74" t="str">
        <f>ДДС!B16</f>
        <v>Cкидка за первое посещение</v>
      </c>
      <c r="B16" s="69">
        <f>ДДС!C16</f>
        <v>0</v>
      </c>
      <c r="C16" s="69">
        <f>ДДС!D16</f>
        <v>0</v>
      </c>
      <c r="D16" s="69">
        <f>ДДС!E16</f>
        <v>0</v>
      </c>
      <c r="E16" s="69">
        <f>ДДС!F16</f>
        <v>0</v>
      </c>
      <c r="F16" s="69">
        <f>ДДС!G16</f>
        <v>0</v>
      </c>
      <c r="G16" s="69">
        <f>ДДС!H16</f>
        <v>0</v>
      </c>
      <c r="H16" s="69">
        <f>ДДС!I16</f>
        <v>0</v>
      </c>
    </row>
    <row r="17" spans="1:8" ht="16.5" thickTop="1" thickBot="1" x14ac:dyDescent="0.3">
      <c r="A17" s="74" t="str">
        <f>ДДС!B17</f>
        <v>5-ое бесплатное посешение</v>
      </c>
      <c r="B17" s="69">
        <f>ДДС!C17</f>
        <v>0</v>
      </c>
      <c r="C17" s="69">
        <f>ДДС!D17</f>
        <v>0</v>
      </c>
      <c r="D17" s="69">
        <f>ДДС!E17</f>
        <v>-309595.6626506024</v>
      </c>
      <c r="E17" s="69">
        <f>ДДС!F17</f>
        <v>-309595.6626506024</v>
      </c>
      <c r="F17" s="69">
        <f>ДДС!G17</f>
        <v>-309595.6626506024</v>
      </c>
      <c r="G17" s="69">
        <f>ДДС!H17</f>
        <v>-309595.6626506024</v>
      </c>
      <c r="H17" s="69">
        <f>ДДС!I17</f>
        <v>-51599.277108433736</v>
      </c>
    </row>
    <row r="18" spans="1:8" ht="16.5" thickTop="1" thickBot="1" x14ac:dyDescent="0.3">
      <c r="A18" s="76" t="str">
        <f>ДДС!B18</f>
        <v>IIa.Постоянные расходы</v>
      </c>
      <c r="B18" s="69">
        <f>ДДС!C18</f>
        <v>0</v>
      </c>
      <c r="C18" s="69">
        <f>ДДС!D18*(1+чувОпр)</f>
        <v>-11208434.079113636</v>
      </c>
      <c r="D18" s="69">
        <f>ДДС!E18*(1+чувОпр)</f>
        <v>-14921409.569724999</v>
      </c>
      <c r="E18" s="69">
        <f>ДДС!F18*(1+чувОпр)</f>
        <v>-15118448.569724999</v>
      </c>
      <c r="F18" s="69">
        <f>ДДС!G18*(1+чувОпр)</f>
        <v>-15118448.569724999</v>
      </c>
      <c r="G18" s="69">
        <f>ДДС!H18*(1+чувОпр)</f>
        <v>-15118448.569724999</v>
      </c>
      <c r="H18" s="69">
        <f>ДДС!I18*(1+чувОпр)</f>
        <v>-2564804.5913499999</v>
      </c>
    </row>
    <row r="19" spans="1:8" ht="16.5" thickTop="1" thickBot="1" x14ac:dyDescent="0.3">
      <c r="A19" s="76" t="str">
        <f>ДДС!B22</f>
        <v>IV.Кредиты и займы</v>
      </c>
      <c r="B19" s="69">
        <f>ДДС!C22</f>
        <v>0</v>
      </c>
      <c r="C19" s="69">
        <f>ДДС!D22</f>
        <v>3575000</v>
      </c>
      <c r="D19" s="69">
        <f>ДДС!E22</f>
        <v>-2326041.666666666</v>
      </c>
      <c r="E19" s="69">
        <f>ДДС!F22</f>
        <v>-2051041.6666666663</v>
      </c>
      <c r="F19" s="69">
        <f>ДДС!G22</f>
        <v>-469791.66666666657</v>
      </c>
      <c r="G19" s="69">
        <f>ДДС!H22</f>
        <v>0</v>
      </c>
      <c r="H19" s="69">
        <f>ДДС!I22</f>
        <v>0</v>
      </c>
    </row>
    <row r="20" spans="1:8" ht="16.5" thickTop="1" thickBot="1" x14ac:dyDescent="0.3">
      <c r="A20" s="74" t="str">
        <f>ДДС!B23</f>
        <v>Поступление займов</v>
      </c>
      <c r="B20" s="69">
        <f>ДДС!C23</f>
        <v>0</v>
      </c>
      <c r="C20" s="69">
        <f>ДДС!D23</f>
        <v>5500000</v>
      </c>
      <c r="D20" s="69">
        <f>ДДС!E23</f>
        <v>0</v>
      </c>
      <c r="E20" s="69">
        <f>ДДС!F23</f>
        <v>0</v>
      </c>
      <c r="F20" s="69">
        <f>ДДС!G23</f>
        <v>0</v>
      </c>
      <c r="G20" s="69">
        <f>ДДС!H23</f>
        <v>0</v>
      </c>
      <c r="H20" s="69">
        <f>ДДС!I23</f>
        <v>0</v>
      </c>
    </row>
    <row r="21" spans="1:8" ht="16.5" thickTop="1" thickBot="1" x14ac:dyDescent="0.3">
      <c r="A21" s="74" t="str">
        <f>ДДС!B24</f>
        <v>Погашение займов</v>
      </c>
      <c r="B21" s="69">
        <f>ДДС!C24</f>
        <v>0</v>
      </c>
      <c r="C21" s="69">
        <f>ДДС!D24</f>
        <v>-1374999.9999999998</v>
      </c>
      <c r="D21" s="69">
        <f>ДДС!E24</f>
        <v>-1833333.333333333</v>
      </c>
      <c r="E21" s="69">
        <f>ДДС!F24</f>
        <v>-1833333.333333333</v>
      </c>
      <c r="F21" s="69">
        <f>ДДС!G24</f>
        <v>-458333.33333333326</v>
      </c>
      <c r="G21" s="69">
        <f>ДДС!H24</f>
        <v>0</v>
      </c>
      <c r="H21" s="69">
        <f>ДДС!I24</f>
        <v>0</v>
      </c>
    </row>
    <row r="22" spans="1:8" ht="16.5" thickTop="1" thickBot="1" x14ac:dyDescent="0.3">
      <c r="A22" s="74" t="str">
        <f>ДДС!B25</f>
        <v>% выплаченные</v>
      </c>
      <c r="B22" s="69">
        <f>ДДС!C25</f>
        <v>0</v>
      </c>
      <c r="C22" s="69">
        <f>ДДС!D25</f>
        <v>-549999.99999999988</v>
      </c>
      <c r="D22" s="69">
        <f>ДДС!E25</f>
        <v>-492708.3333333332</v>
      </c>
      <c r="E22" s="69">
        <f>ДДС!F25</f>
        <v>-217708.33333333331</v>
      </c>
      <c r="F22" s="69">
        <f>ДДС!G25</f>
        <v>-11458.333333333332</v>
      </c>
      <c r="G22" s="69">
        <f>ДДС!H25</f>
        <v>0</v>
      </c>
      <c r="H22" s="69">
        <f>ДДС!I25</f>
        <v>0</v>
      </c>
    </row>
    <row r="23" spans="1:8" ht="16.5" thickTop="1" thickBot="1" x14ac:dyDescent="0.3">
      <c r="A23" s="74" t="str">
        <f>ДДС!B26</f>
        <v>Вклады собственников</v>
      </c>
      <c r="B23" s="69">
        <f>ДДС!C26</f>
        <v>0</v>
      </c>
      <c r="C23" s="69">
        <f>ДДС!D26</f>
        <v>0</v>
      </c>
      <c r="D23" s="69">
        <f>ДДС!E26</f>
        <v>0</v>
      </c>
      <c r="E23" s="69">
        <f>ДДС!F26</f>
        <v>0</v>
      </c>
      <c r="F23" s="69">
        <f>ДДС!G26</f>
        <v>0</v>
      </c>
      <c r="G23" s="69">
        <f>ДДС!H26</f>
        <v>0</v>
      </c>
      <c r="H23" s="69">
        <f>ДДС!I26</f>
        <v>0</v>
      </c>
    </row>
    <row r="24" spans="1:8" ht="15.75" thickTop="1" x14ac:dyDescent="0.25">
      <c r="A24" s="73"/>
      <c r="B24" s="1"/>
      <c r="C24" s="1"/>
      <c r="D24" s="1"/>
      <c r="E24" s="1"/>
      <c r="F24" s="1"/>
      <c r="G24" s="1"/>
      <c r="H24" s="1"/>
    </row>
    <row r="25" spans="1:8" x14ac:dyDescent="0.25">
      <c r="A25" s="129" t="str">
        <f>ДДС!B28</f>
        <v>Cash-flow (CF)</v>
      </c>
      <c r="B25" s="129">
        <f t="shared" ref="B25:H25" si="0">SUM(B13:B15)+B18</f>
        <v>-5434475.5499999998</v>
      </c>
      <c r="C25" s="129">
        <f t="shared" si="0"/>
        <v>2746916.615330806</v>
      </c>
      <c r="D25" s="129">
        <f t="shared" si="0"/>
        <v>9420336.263608329</v>
      </c>
      <c r="E25" s="129">
        <f t="shared" si="0"/>
        <v>10292723.930274989</v>
      </c>
      <c r="F25" s="129">
        <f t="shared" si="0"/>
        <v>10292723.930274989</v>
      </c>
      <c r="G25" s="129">
        <f t="shared" si="0"/>
        <v>10292723.930274989</v>
      </c>
      <c r="H25" s="129">
        <f t="shared" si="0"/>
        <v>2162855.4086499992</v>
      </c>
    </row>
    <row r="26" spans="1:8" x14ac:dyDescent="0.25">
      <c r="A26" s="129" t="str">
        <f>ДДС!B29</f>
        <v>Cum. CF</v>
      </c>
      <c r="B26" s="129">
        <f>B25</f>
        <v>-5434475.5499999998</v>
      </c>
      <c r="C26" s="129">
        <f t="shared" ref="C26:H26" si="1">B26+C25</f>
        <v>-2687558.9346691938</v>
      </c>
      <c r="D26" s="129">
        <f t="shared" si="1"/>
        <v>6732777.3289391352</v>
      </c>
      <c r="E26" s="129">
        <f t="shared" si="1"/>
        <v>17025501.259214126</v>
      </c>
      <c r="F26" s="129">
        <f t="shared" si="1"/>
        <v>27318225.189489115</v>
      </c>
      <c r="G26" s="129">
        <f t="shared" si="1"/>
        <v>37610949.119764104</v>
      </c>
      <c r="H26" s="129">
        <f t="shared" si="1"/>
        <v>39773804.5284141</v>
      </c>
    </row>
    <row r="27" spans="1:8" x14ac:dyDescent="0.25">
      <c r="A27" s="129" t="str">
        <f>ДДС!B30</f>
        <v>Коэффициент дисконтирования</v>
      </c>
      <c r="B27" s="129">
        <f>ДДС!C30</f>
        <v>1</v>
      </c>
      <c r="C27" s="129">
        <f>ДДС!D30</f>
        <v>0.84764529108513276</v>
      </c>
      <c r="D27" s="129">
        <f>ДДС!E30</f>
        <v>0.69513817312434223</v>
      </c>
      <c r="E27" s="129">
        <f>ДДС!F30</f>
        <v>0.57006991582062194</v>
      </c>
      <c r="F27" s="129">
        <f>ДДС!G30</f>
        <v>0.46750375894779184</v>
      </c>
      <c r="G27" s="129">
        <f>ДДС!H30</f>
        <v>0.38339115705780746</v>
      </c>
      <c r="H27" s="129">
        <f>ДДС!I30</f>
        <v>0.37092398962862322</v>
      </c>
    </row>
    <row r="28" spans="1:8" x14ac:dyDescent="0.25">
      <c r="A28" s="129"/>
      <c r="B28" s="129"/>
      <c r="C28" s="129"/>
      <c r="D28" s="129"/>
      <c r="E28" s="129"/>
      <c r="F28" s="129"/>
      <c r="G28" s="129"/>
      <c r="H28" s="129"/>
    </row>
    <row r="29" spans="1:8" x14ac:dyDescent="0.25">
      <c r="A29" s="129" t="str">
        <f>ДДС!B32</f>
        <v>DCF</v>
      </c>
      <c r="B29" s="129">
        <f t="shared" ref="B29:H29" si="2">B25*B27</f>
        <v>-5434475.5499999998</v>
      </c>
      <c r="C29" s="129">
        <f t="shared" si="2"/>
        <v>2328410.9339886685</v>
      </c>
      <c r="D29" s="129">
        <f t="shared" si="2"/>
        <v>6548435.3405016856</v>
      </c>
      <c r="E29" s="129">
        <f t="shared" si="2"/>
        <v>5867572.2644967642</v>
      </c>
      <c r="F29" s="129">
        <f t="shared" si="2"/>
        <v>4811887.1272154469</v>
      </c>
      <c r="G29" s="129">
        <f t="shared" si="2"/>
        <v>3946139.336904712</v>
      </c>
      <c r="H29" s="129">
        <f t="shared" si="2"/>
        <v>802254.95716630388</v>
      </c>
    </row>
    <row r="30" spans="1:8" x14ac:dyDescent="0.25">
      <c r="A30" s="129" t="str">
        <f>ДДС!B33</f>
        <v>Cum. DCF</v>
      </c>
      <c r="B30" s="129">
        <f>B29</f>
        <v>-5434475.5499999998</v>
      </c>
      <c r="C30" s="129">
        <f t="shared" ref="C30:H30" si="3">B30+C29</f>
        <v>-3106064.6160113313</v>
      </c>
      <c r="D30" s="129">
        <f t="shared" si="3"/>
        <v>3442370.7244903543</v>
      </c>
      <c r="E30" s="129">
        <f t="shared" si="3"/>
        <v>9309942.988987118</v>
      </c>
      <c r="F30" s="129">
        <f t="shared" si="3"/>
        <v>14121830.116202565</v>
      </c>
      <c r="G30" s="129">
        <f t="shared" si="3"/>
        <v>18067969.453107275</v>
      </c>
      <c r="H30" s="129">
        <f t="shared" si="3"/>
        <v>18870224.410273578</v>
      </c>
    </row>
    <row r="31" spans="1:8" x14ac:dyDescent="0.25">
      <c r="A31" s="67"/>
      <c r="B31" s="67"/>
      <c r="C31" s="67"/>
      <c r="D31" s="67"/>
      <c r="E31" s="67"/>
      <c r="F31" s="67"/>
      <c r="G31" s="67"/>
      <c r="H31" s="67"/>
    </row>
    <row r="32" spans="1:8" x14ac:dyDescent="0.25">
      <c r="A32" s="129" t="str">
        <f>ДДС!B35</f>
        <v>CF (Инвестиции+Операционная деятельность)</v>
      </c>
      <c r="B32" s="129">
        <f t="shared" ref="B32:H32" si="4">B13+B15+B18</f>
        <v>-5434475.5499999998</v>
      </c>
      <c r="C32" s="129">
        <f t="shared" si="4"/>
        <v>2239852.170886362</v>
      </c>
      <c r="D32" s="129">
        <f t="shared" si="4"/>
        <v>9150662.9302749969</v>
      </c>
      <c r="E32" s="129">
        <f t="shared" si="4"/>
        <v>10292723.930274989</v>
      </c>
      <c r="F32" s="129">
        <f t="shared" si="4"/>
        <v>10292723.930274989</v>
      </c>
      <c r="G32" s="129">
        <f t="shared" si="4"/>
        <v>10292723.930274989</v>
      </c>
      <c r="H32" s="129">
        <f t="shared" si="4"/>
        <v>2162855.4086499992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B1:I28"/>
  <sheetViews>
    <sheetView workbookViewId="0">
      <selection activeCell="B15" sqref="B15"/>
    </sheetView>
  </sheetViews>
  <sheetFormatPr defaultRowHeight="15" x14ac:dyDescent="0.25"/>
  <cols>
    <col min="1" max="1" width="9.140625" style="1"/>
    <col min="2" max="2" width="24.7109375" style="1" bestFit="1" customWidth="1"/>
    <col min="3" max="3" width="15.140625" style="1" customWidth="1"/>
    <col min="4" max="4" width="21.140625" style="1" customWidth="1"/>
    <col min="5" max="5" width="23.7109375" style="1" customWidth="1"/>
    <col min="6" max="6" width="16.7109375" style="1" customWidth="1"/>
    <col min="7" max="7" width="17.7109375" style="1" customWidth="1"/>
    <col min="8" max="8" width="11.7109375" style="1" customWidth="1"/>
    <col min="9" max="9" width="12.28515625" style="1" bestFit="1" customWidth="1"/>
    <col min="10" max="16384" width="9.140625" style="1"/>
  </cols>
  <sheetData>
    <row r="1" spans="2:9" ht="21" x14ac:dyDescent="0.35">
      <c r="B1" s="43" t="s">
        <v>165</v>
      </c>
    </row>
    <row r="2" spans="2:9" ht="8.25" customHeight="1" x14ac:dyDescent="0.35">
      <c r="B2" s="95"/>
      <c r="C2" s="95"/>
      <c r="D2" s="95"/>
      <c r="E2" s="95"/>
      <c r="F2" s="95"/>
      <c r="G2" s="95"/>
      <c r="H2" s="95"/>
      <c r="I2" s="95"/>
    </row>
    <row r="4" spans="2:9" ht="15.75" x14ac:dyDescent="0.25">
      <c r="B4" s="1" t="s">
        <v>216</v>
      </c>
      <c r="C4" s="135">
        <v>0.3</v>
      </c>
    </row>
    <row r="6" spans="2:9" ht="15.75" x14ac:dyDescent="0.25">
      <c r="B6" s="80" t="s">
        <v>154</v>
      </c>
    </row>
    <row r="7" spans="2:9" ht="15.75" thickBot="1" x14ac:dyDescent="0.3"/>
    <row r="8" spans="2:9" s="71" customFormat="1" ht="32.25" customHeight="1" thickTop="1" thickBot="1" x14ac:dyDescent="0.3">
      <c r="B8" s="72" t="s">
        <v>22</v>
      </c>
      <c r="C8" s="72" t="s">
        <v>25</v>
      </c>
      <c r="D8" s="72" t="s">
        <v>63</v>
      </c>
      <c r="E8" s="72" t="s">
        <v>61</v>
      </c>
      <c r="F8" s="72" t="s">
        <v>62</v>
      </c>
      <c r="G8" s="72" t="s">
        <v>64</v>
      </c>
      <c r="H8" s="72" t="s">
        <v>163</v>
      </c>
      <c r="I8" s="26" t="s">
        <v>164</v>
      </c>
    </row>
    <row r="9" spans="2:9" ht="15.75" thickTop="1" x14ac:dyDescent="0.25">
      <c r="B9" s="67" t="s">
        <v>18</v>
      </c>
      <c r="C9" s="106">
        <v>1590</v>
      </c>
      <c r="D9" s="67">
        <f>SUM(E9:G9)</f>
        <v>666.4</v>
      </c>
      <c r="E9" s="106">
        <v>94</v>
      </c>
      <c r="F9" s="67">
        <f>$C$4*C9</f>
        <v>477</v>
      </c>
      <c r="G9" s="67">
        <f>C9*0.06</f>
        <v>95.399999999999991</v>
      </c>
      <c r="H9" s="67">
        <f>C9-D9</f>
        <v>923.6</v>
      </c>
      <c r="I9" s="134">
        <f>H9/C9</f>
        <v>0.58088050314465411</v>
      </c>
    </row>
    <row r="10" spans="2:9" x14ac:dyDescent="0.25">
      <c r="B10" s="67" t="s">
        <v>19</v>
      </c>
      <c r="C10" s="106">
        <v>2490</v>
      </c>
      <c r="D10" s="67">
        <f>SUM(E10:G10)</f>
        <v>1202.4000000000001</v>
      </c>
      <c r="E10" s="106">
        <v>306</v>
      </c>
      <c r="F10" s="67">
        <f t="shared" ref="F10:F12" si="0">$C$4*C10</f>
        <v>747</v>
      </c>
      <c r="G10" s="67">
        <f>C10*0.06</f>
        <v>149.4</v>
      </c>
      <c r="H10" s="67">
        <f t="shared" ref="H10:H12" si="1">C10-D10</f>
        <v>1287.5999999999999</v>
      </c>
      <c r="I10" s="134">
        <f t="shared" ref="I10:I12" si="2">H10/C10</f>
        <v>0.51710843373493975</v>
      </c>
    </row>
    <row r="11" spans="2:9" x14ac:dyDescent="0.25">
      <c r="B11" s="67" t="s">
        <v>20</v>
      </c>
      <c r="C11" s="106">
        <v>3990</v>
      </c>
      <c r="D11" s="67">
        <f>SUM(E11:G11)</f>
        <v>1606.4</v>
      </c>
      <c r="E11" s="106">
        <v>170</v>
      </c>
      <c r="F11" s="67">
        <f t="shared" si="0"/>
        <v>1197</v>
      </c>
      <c r="G11" s="67">
        <f>C11*0.06</f>
        <v>239.39999999999998</v>
      </c>
      <c r="H11" s="67">
        <f t="shared" si="1"/>
        <v>2383.6</v>
      </c>
      <c r="I11" s="134">
        <f t="shared" si="2"/>
        <v>0.59739348370927314</v>
      </c>
    </row>
    <row r="12" spans="2:9" x14ac:dyDescent="0.25">
      <c r="B12" s="67" t="s">
        <v>21</v>
      </c>
      <c r="C12" s="106">
        <v>2100</v>
      </c>
      <c r="D12" s="67">
        <f>SUM(E12:G12)</f>
        <v>850</v>
      </c>
      <c r="E12" s="106">
        <v>94</v>
      </c>
      <c r="F12" s="67">
        <f t="shared" si="0"/>
        <v>630</v>
      </c>
      <c r="G12" s="67">
        <f>C12*0.06</f>
        <v>126</v>
      </c>
      <c r="H12" s="67">
        <f t="shared" si="1"/>
        <v>1250</v>
      </c>
      <c r="I12" s="134">
        <f t="shared" si="2"/>
        <v>0.59523809523809523</v>
      </c>
    </row>
    <row r="13" spans="2:9" x14ac:dyDescent="0.25">
      <c r="B13" s="67"/>
      <c r="C13" s="106"/>
      <c r="D13" s="67"/>
      <c r="E13" s="106"/>
      <c r="F13" s="67"/>
      <c r="G13" s="67"/>
      <c r="H13" s="67"/>
      <c r="I13" s="160"/>
    </row>
    <row r="14" spans="2:9" x14ac:dyDescent="0.25">
      <c r="B14" s="67"/>
      <c r="C14" s="106"/>
      <c r="D14" s="67"/>
      <c r="E14" s="106"/>
      <c r="F14" s="67"/>
      <c r="G14" s="67"/>
      <c r="H14" s="67"/>
      <c r="I14" s="160"/>
    </row>
    <row r="15" spans="2:9" x14ac:dyDescent="0.25">
      <c r="B15" s="67"/>
      <c r="C15" s="106"/>
      <c r="D15" s="67"/>
      <c r="E15" s="106"/>
      <c r="F15" s="67"/>
      <c r="G15" s="67"/>
      <c r="H15" s="67"/>
      <c r="I15" s="160"/>
    </row>
    <row r="16" spans="2:9" x14ac:dyDescent="0.25">
      <c r="B16" s="67"/>
      <c r="C16" s="106"/>
      <c r="D16" s="67"/>
      <c r="E16" s="106"/>
      <c r="F16" s="67"/>
      <c r="G16" s="67"/>
      <c r="H16" s="67"/>
      <c r="I16" s="160"/>
    </row>
    <row r="17" spans="2:9" x14ac:dyDescent="0.25">
      <c r="B17" s="67"/>
      <c r="C17" s="106"/>
      <c r="D17" s="67"/>
      <c r="E17" s="106"/>
      <c r="F17" s="67"/>
      <c r="G17" s="67"/>
      <c r="H17" s="67"/>
      <c r="I17" s="160"/>
    </row>
    <row r="18" spans="2:9" x14ac:dyDescent="0.25">
      <c r="B18" s="67"/>
      <c r="C18" s="106"/>
      <c r="D18" s="67"/>
      <c r="E18" s="106"/>
      <c r="F18" s="67"/>
      <c r="G18" s="67"/>
      <c r="H18" s="67"/>
      <c r="I18" s="160"/>
    </row>
    <row r="19" spans="2:9" x14ac:dyDescent="0.25">
      <c r="B19" s="67"/>
      <c r="C19" s="106"/>
      <c r="D19" s="67"/>
      <c r="E19" s="106"/>
      <c r="F19" s="67"/>
      <c r="G19" s="67"/>
      <c r="H19" s="67"/>
      <c r="I19" s="160"/>
    </row>
    <row r="20" spans="2:9" x14ac:dyDescent="0.25">
      <c r="B20" s="67"/>
      <c r="C20" s="106"/>
      <c r="D20" s="67"/>
      <c r="E20" s="106"/>
      <c r="F20" s="67"/>
      <c r="G20" s="67"/>
      <c r="H20" s="67"/>
      <c r="I20" s="160"/>
    </row>
    <row r="22" spans="2:9" ht="15.75" x14ac:dyDescent="0.25">
      <c r="B22" s="80" t="s">
        <v>155</v>
      </c>
      <c r="G22" s="80" t="s">
        <v>160</v>
      </c>
    </row>
    <row r="23" spans="2:9" ht="15.75" thickBot="1" x14ac:dyDescent="0.3"/>
    <row r="24" spans="2:9" ht="16.5" thickTop="1" thickBot="1" x14ac:dyDescent="0.3">
      <c r="B24" s="72" t="s">
        <v>22</v>
      </c>
      <c r="C24" s="26" t="s">
        <v>108</v>
      </c>
      <c r="G24" s="72" t="s">
        <v>22</v>
      </c>
      <c r="H24" s="26" t="s">
        <v>161</v>
      </c>
    </row>
    <row r="25" spans="2:9" ht="15.75" thickTop="1" x14ac:dyDescent="0.25">
      <c r="B25" s="78" t="s">
        <v>18</v>
      </c>
      <c r="C25" s="136">
        <v>0.4</v>
      </c>
      <c r="G25" s="78" t="s">
        <v>18</v>
      </c>
      <c r="H25" s="106">
        <v>1</v>
      </c>
    </row>
    <row r="26" spans="2:9" x14ac:dyDescent="0.25">
      <c r="B26" s="78" t="s">
        <v>19</v>
      </c>
      <c r="C26" s="136">
        <v>0.2</v>
      </c>
      <c r="G26" s="78" t="s">
        <v>19</v>
      </c>
      <c r="H26" s="106">
        <v>1.1666666666666667</v>
      </c>
    </row>
    <row r="27" spans="2:9" x14ac:dyDescent="0.25">
      <c r="B27" s="78" t="s">
        <v>20</v>
      </c>
      <c r="C27" s="136">
        <v>0.1</v>
      </c>
      <c r="G27" s="78" t="s">
        <v>20</v>
      </c>
      <c r="H27" s="106">
        <v>1.5</v>
      </c>
    </row>
    <row r="28" spans="2:9" x14ac:dyDescent="0.25">
      <c r="B28" s="78" t="s">
        <v>21</v>
      </c>
      <c r="C28" s="136">
        <v>0.3</v>
      </c>
      <c r="G28" s="78" t="s">
        <v>21</v>
      </c>
      <c r="H28" s="106">
        <v>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F2:J37"/>
  <sheetViews>
    <sheetView showGridLines="0" workbookViewId="0">
      <selection activeCell="I25" sqref="I25"/>
    </sheetView>
  </sheetViews>
  <sheetFormatPr defaultRowHeight="15" x14ac:dyDescent="0.25"/>
  <cols>
    <col min="1" max="1" width="4.140625" style="1" customWidth="1"/>
    <col min="2" max="2" width="3.42578125" style="1" customWidth="1"/>
    <col min="3" max="3" width="27.85546875" style="1" bestFit="1" customWidth="1"/>
    <col min="4" max="4" width="14.28515625" style="1" customWidth="1"/>
    <col min="5" max="5" width="3.42578125" style="1" customWidth="1"/>
    <col min="6" max="6" width="15.5703125" style="1" customWidth="1"/>
    <col min="7" max="7" width="28.140625" style="1" customWidth="1"/>
    <col min="8" max="8" width="16" style="1" customWidth="1"/>
    <col min="9" max="9" width="28.42578125" style="1" customWidth="1"/>
    <col min="10" max="10" width="18.5703125" style="1" customWidth="1"/>
    <col min="11" max="11" width="18.42578125" style="1" customWidth="1"/>
    <col min="12" max="12" width="29.140625" style="1" bestFit="1" customWidth="1"/>
    <col min="13" max="16384" width="9.140625" style="1"/>
  </cols>
  <sheetData>
    <row r="2" spans="6:10" ht="15.75" thickBot="1" x14ac:dyDescent="0.3"/>
    <row r="3" spans="6:10" ht="16.5" thickTop="1" thickBot="1" x14ac:dyDescent="0.3">
      <c r="H3" s="253" t="s">
        <v>109</v>
      </c>
      <c r="I3" s="253"/>
    </row>
    <row r="4" spans="6:10" ht="15.75" thickTop="1" x14ac:dyDescent="0.25">
      <c r="F4" s="30"/>
      <c r="G4" s="31"/>
      <c r="H4" s="31"/>
      <c r="I4" s="31"/>
      <c r="J4" s="32"/>
    </row>
    <row r="5" spans="6:10" x14ac:dyDescent="0.25">
      <c r="F5" s="33"/>
      <c r="G5" s="257" t="s">
        <v>8</v>
      </c>
      <c r="H5" s="257"/>
      <c r="I5" s="39">
        <v>5</v>
      </c>
      <c r="J5" s="34"/>
    </row>
    <row r="6" spans="6:10" x14ac:dyDescent="0.25">
      <c r="F6" s="33"/>
      <c r="G6" s="27"/>
      <c r="H6" s="111"/>
      <c r="I6" s="28"/>
      <c r="J6" s="34"/>
    </row>
    <row r="7" spans="6:10" x14ac:dyDescent="0.25">
      <c r="F7" s="33"/>
      <c r="G7" s="257" t="s">
        <v>9</v>
      </c>
      <c r="H7" s="257"/>
      <c r="I7" s="40">
        <v>43132</v>
      </c>
      <c r="J7" s="34"/>
    </row>
    <row r="8" spans="6:10" ht="15" customHeight="1" x14ac:dyDescent="0.25">
      <c r="F8" s="33"/>
      <c r="G8" s="257" t="s">
        <v>36</v>
      </c>
      <c r="H8" s="257"/>
      <c r="I8" s="29">
        <f>I7+360*I5</f>
        <v>44932</v>
      </c>
      <c r="J8" s="34"/>
    </row>
    <row r="9" spans="6:10" x14ac:dyDescent="0.25">
      <c r="F9" s="33"/>
      <c r="G9" s="257" t="s">
        <v>10</v>
      </c>
      <c r="H9" s="257"/>
      <c r="I9" s="28">
        <f>MONTH(I7)</f>
        <v>2</v>
      </c>
      <c r="J9" s="34"/>
    </row>
    <row r="10" spans="6:10" x14ac:dyDescent="0.25">
      <c r="F10" s="33"/>
      <c r="G10" s="27"/>
      <c r="H10" s="111"/>
      <c r="I10" s="27"/>
      <c r="J10" s="34"/>
    </row>
    <row r="11" spans="6:10" x14ac:dyDescent="0.25">
      <c r="F11" s="33"/>
      <c r="G11" s="27" t="s">
        <v>404</v>
      </c>
      <c r="H11" s="111"/>
      <c r="I11" s="237">
        <v>0.06</v>
      </c>
      <c r="J11" s="34"/>
    </row>
    <row r="12" spans="6:10" ht="13.5" customHeight="1" x14ac:dyDescent="0.25">
      <c r="F12" s="33"/>
      <c r="G12" s="27"/>
      <c r="H12" s="111"/>
      <c r="I12" s="27"/>
      <c r="J12" s="34"/>
    </row>
    <row r="13" spans="6:10" ht="13.5" customHeight="1" x14ac:dyDescent="0.25">
      <c r="F13" s="33"/>
      <c r="G13" s="255" t="s">
        <v>100</v>
      </c>
      <c r="H13" s="255"/>
      <c r="I13" s="39" t="s">
        <v>101</v>
      </c>
      <c r="J13" s="34"/>
    </row>
    <row r="14" spans="6:10" ht="13.5" customHeight="1" x14ac:dyDescent="0.25">
      <c r="F14" s="33"/>
      <c r="G14" s="27"/>
      <c r="H14" s="111"/>
      <c r="I14" s="41">
        <f>IF(I13="Да",1,0)</f>
        <v>0</v>
      </c>
      <c r="J14" s="35"/>
    </row>
    <row r="15" spans="6:10" ht="13.5" customHeight="1" x14ac:dyDescent="0.25">
      <c r="F15" s="33"/>
      <c r="G15" s="258" t="s">
        <v>307</v>
      </c>
      <c r="H15" s="258"/>
      <c r="I15" s="39" t="s">
        <v>300</v>
      </c>
      <c r="J15" s="35"/>
    </row>
    <row r="16" spans="6:10" ht="13.5" customHeight="1" x14ac:dyDescent="0.25">
      <c r="F16" s="33"/>
      <c r="G16" s="258" t="s">
        <v>308</v>
      </c>
      <c r="H16" s="258"/>
      <c r="I16" s="39" t="s">
        <v>303</v>
      </c>
      <c r="J16" s="35"/>
    </row>
    <row r="17" spans="6:10" ht="13.5" customHeight="1" x14ac:dyDescent="0.25">
      <c r="F17" s="33"/>
      <c r="G17" s="27"/>
      <c r="H17" s="111"/>
      <c r="I17" s="41"/>
      <c r="J17" s="35"/>
    </row>
    <row r="18" spans="6:10" x14ac:dyDescent="0.25">
      <c r="F18" s="33"/>
      <c r="G18" s="256" t="s">
        <v>41</v>
      </c>
      <c r="H18" s="256"/>
      <c r="I18" s="39" t="s">
        <v>39</v>
      </c>
      <c r="J18" s="34"/>
    </row>
    <row r="19" spans="6:10" x14ac:dyDescent="0.25">
      <c r="F19" s="33"/>
      <c r="G19" s="27"/>
      <c r="H19" s="111"/>
      <c r="I19" s="27"/>
      <c r="J19" s="34"/>
    </row>
    <row r="20" spans="6:10" x14ac:dyDescent="0.25">
      <c r="F20" s="33"/>
      <c r="G20" s="256" t="s">
        <v>116</v>
      </c>
      <c r="H20" s="256"/>
      <c r="I20" s="42">
        <v>0.2</v>
      </c>
      <c r="J20" s="34"/>
    </row>
    <row r="21" spans="6:10" x14ac:dyDescent="0.25">
      <c r="F21" s="33"/>
      <c r="G21" s="27"/>
      <c r="H21" s="27"/>
      <c r="I21" s="27"/>
      <c r="J21" s="34"/>
    </row>
    <row r="22" spans="6:10" ht="15.75" thickBot="1" x14ac:dyDescent="0.3">
      <c r="F22" s="33"/>
      <c r="G22" s="27"/>
      <c r="H22" s="27"/>
      <c r="I22" s="27"/>
      <c r="J22" s="34"/>
    </row>
    <row r="23" spans="6:10" ht="16.5" thickTop="1" thickBot="1" x14ac:dyDescent="0.3">
      <c r="F23" s="33"/>
      <c r="G23" s="89" t="s">
        <v>151</v>
      </c>
      <c r="H23" s="89" t="s">
        <v>37</v>
      </c>
      <c r="I23" s="27" t="s">
        <v>424</v>
      </c>
      <c r="J23" s="34"/>
    </row>
    <row r="24" spans="6:10" ht="15.75" thickTop="1" x14ac:dyDescent="0.25">
      <c r="F24" s="33"/>
      <c r="G24" s="137" t="s">
        <v>38</v>
      </c>
      <c r="H24" s="138">
        <v>0.8</v>
      </c>
      <c r="I24" s="27"/>
      <c r="J24" s="34"/>
    </row>
    <row r="25" spans="6:10" x14ac:dyDescent="0.25">
      <c r="F25" s="33"/>
      <c r="G25" s="137" t="s">
        <v>39</v>
      </c>
      <c r="H25" s="138">
        <v>1</v>
      </c>
      <c r="I25" s="27"/>
      <c r="J25" s="34"/>
    </row>
    <row r="26" spans="6:10" x14ac:dyDescent="0.25">
      <c r="F26" s="33"/>
      <c r="G26" s="137" t="s">
        <v>40</v>
      </c>
      <c r="H26" s="138">
        <v>0.5</v>
      </c>
      <c r="I26" s="27"/>
      <c r="J26" s="34"/>
    </row>
    <row r="27" spans="6:10" x14ac:dyDescent="0.25">
      <c r="F27" s="33"/>
      <c r="G27" s="137"/>
      <c r="H27" s="137"/>
      <c r="I27" s="27"/>
      <c r="J27" s="34"/>
    </row>
    <row r="28" spans="6:10" x14ac:dyDescent="0.25">
      <c r="F28" s="33"/>
      <c r="G28" s="27"/>
      <c r="H28" s="27"/>
      <c r="I28" s="27"/>
      <c r="J28" s="34"/>
    </row>
    <row r="29" spans="6:10" x14ac:dyDescent="0.25">
      <c r="F29" s="33"/>
      <c r="G29" s="27"/>
      <c r="H29" s="27"/>
      <c r="I29" s="27"/>
      <c r="J29" s="34"/>
    </row>
    <row r="30" spans="6:10" x14ac:dyDescent="0.25">
      <c r="F30" s="33"/>
      <c r="G30" s="27"/>
      <c r="H30" s="27"/>
      <c r="I30" s="27"/>
      <c r="J30" s="34"/>
    </row>
    <row r="31" spans="6:10" x14ac:dyDescent="0.25">
      <c r="F31" s="33"/>
      <c r="G31" s="27"/>
      <c r="H31" s="27"/>
      <c r="I31" s="27"/>
      <c r="J31" s="34"/>
    </row>
    <row r="32" spans="6:10" x14ac:dyDescent="0.25">
      <c r="F32" s="33"/>
      <c r="G32" s="27"/>
      <c r="H32" s="27"/>
      <c r="I32" s="27"/>
      <c r="J32" s="34"/>
    </row>
    <row r="33" spans="6:10" x14ac:dyDescent="0.25">
      <c r="F33" s="33"/>
      <c r="G33" s="27"/>
      <c r="H33" s="27"/>
      <c r="I33" s="27"/>
      <c r="J33" s="34"/>
    </row>
    <row r="34" spans="6:10" x14ac:dyDescent="0.25">
      <c r="F34" s="33"/>
      <c r="G34" s="27"/>
      <c r="H34" s="27"/>
      <c r="I34" s="27"/>
      <c r="J34" s="34"/>
    </row>
    <row r="35" spans="6:10" x14ac:dyDescent="0.25">
      <c r="F35" s="33"/>
      <c r="G35" s="27"/>
      <c r="H35" s="27"/>
      <c r="I35" s="27"/>
      <c r="J35" s="34"/>
    </row>
    <row r="36" spans="6:10" x14ac:dyDescent="0.25">
      <c r="F36" s="33"/>
      <c r="G36" s="27"/>
      <c r="H36" s="27"/>
      <c r="I36" s="27"/>
      <c r="J36" s="34"/>
    </row>
    <row r="37" spans="6:10" ht="15.75" thickBot="1" x14ac:dyDescent="0.3">
      <c r="F37" s="36"/>
      <c r="G37" s="37"/>
      <c r="H37" s="37"/>
      <c r="I37" s="37"/>
      <c r="J37" s="38"/>
    </row>
  </sheetData>
  <mergeCells count="10">
    <mergeCell ref="G13:H13"/>
    <mergeCell ref="G18:H18"/>
    <mergeCell ref="G20:H20"/>
    <mergeCell ref="H3:I3"/>
    <mergeCell ref="G5:H5"/>
    <mergeCell ref="G7:H7"/>
    <mergeCell ref="G8:H8"/>
    <mergeCell ref="G9:H9"/>
    <mergeCell ref="G15:H15"/>
    <mergeCell ref="G16:H16"/>
  </mergeCells>
  <dataValidations count="2">
    <dataValidation type="list" allowBlank="1" showInputMessage="1" showErrorMessage="1" sqref="I18" xr:uid="{00000000-0002-0000-0500-000000000000}">
      <formula1>Сценарии</formula1>
    </dataValidation>
    <dataValidation type="list" allowBlank="1" showInputMessage="1" showErrorMessage="1" sqref="I13 I18" xr:uid="{00000000-0002-0000-0500-000001000000}">
      <formula1>"Да,Нет"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10CFB4-C297-4A2E-B6B7-0B066D1B6BC6}">
          <x14:formula1>
            <xm:f>Вх.Данные.Ассортимент!$K$57:$L$57</xm:f>
          </x14:formula1>
          <xm:sqref>I15</xm:sqref>
        </x14:dataValidation>
        <x14:dataValidation type="list" allowBlank="1" showInputMessage="1" showErrorMessage="1" xr:uid="{5741059B-43CE-45E2-9EE3-EFF51A5681E3}">
          <x14:formula1>
            <xm:f>Вх.Данные.Ассортимент!$Q$57:$R$57</xm:f>
          </x14:formula1>
          <xm:sqref>I16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18"/>
  <sheetViews>
    <sheetView workbookViewId="0">
      <selection activeCell="H16" sqref="H16"/>
    </sheetView>
  </sheetViews>
  <sheetFormatPr defaultRowHeight="15" x14ac:dyDescent="0.25"/>
  <cols>
    <col min="1" max="1" width="4.28515625" style="1" customWidth="1"/>
    <col min="2" max="2" width="9.140625" style="1"/>
    <col min="3" max="3" width="8.42578125" style="1" bestFit="1" customWidth="1"/>
    <col min="4" max="4" width="21.140625" style="1" bestFit="1" customWidth="1"/>
    <col min="5" max="5" width="16" style="1" bestFit="1" customWidth="1"/>
    <col min="6" max="6" width="9.28515625" style="1" bestFit="1" customWidth="1"/>
    <col min="7" max="7" width="9.140625" style="1"/>
    <col min="8" max="8" width="19.42578125" style="1" bestFit="1" customWidth="1"/>
    <col min="9" max="16384" width="9.140625" style="1"/>
  </cols>
  <sheetData>
    <row r="1" spans="2:23" ht="21" x14ac:dyDescent="0.35">
      <c r="B1" s="43" t="s">
        <v>152</v>
      </c>
    </row>
    <row r="2" spans="2:23" ht="12" customHeight="1" x14ac:dyDescent="0.3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4" spans="2:23" ht="15.75" x14ac:dyDescent="0.25">
      <c r="C4" s="1" t="s">
        <v>211</v>
      </c>
      <c r="F4" s="133" t="s">
        <v>115</v>
      </c>
      <c r="H4" s="77"/>
    </row>
    <row r="5" spans="2:23" ht="16.5" thickBot="1" x14ac:dyDescent="0.3">
      <c r="F5" s="133"/>
      <c r="H5" s="77"/>
    </row>
    <row r="6" spans="2:23" ht="16.5" thickTop="1" thickBot="1" x14ac:dyDescent="0.3">
      <c r="C6" s="68" t="s">
        <v>11</v>
      </c>
      <c r="D6" s="68" t="s">
        <v>16</v>
      </c>
      <c r="F6" s="26" t="s">
        <v>35</v>
      </c>
      <c r="G6" s="26" t="s">
        <v>11</v>
      </c>
      <c r="H6" s="26" t="s">
        <v>17</v>
      </c>
    </row>
    <row r="7" spans="2:23" ht="15.75" thickTop="1" x14ac:dyDescent="0.25">
      <c r="C7" s="1" t="s">
        <v>12</v>
      </c>
      <c r="D7" s="62">
        <v>1</v>
      </c>
      <c r="F7" s="67">
        <v>1</v>
      </c>
      <c r="G7" s="67" t="s">
        <v>12</v>
      </c>
      <c r="H7" s="78">
        <f>INDEX($D$7:$D$10,MATCH(G7,Сезонность!$C$7:$C$10,0),1)</f>
        <v>1</v>
      </c>
    </row>
    <row r="8" spans="2:23" x14ac:dyDescent="0.25">
      <c r="C8" s="1" t="s">
        <v>13</v>
      </c>
      <c r="D8" s="62">
        <v>1</v>
      </c>
      <c r="F8" s="67">
        <v>2</v>
      </c>
      <c r="G8" s="67" t="s">
        <v>12</v>
      </c>
      <c r="H8" s="78">
        <f>INDEX($D$7:$D$10,MATCH(G8,Сезонность!$C$7:$C$10,0),1)</f>
        <v>1</v>
      </c>
    </row>
    <row r="9" spans="2:23" x14ac:dyDescent="0.25">
      <c r="C9" s="1" t="s">
        <v>14</v>
      </c>
      <c r="D9" s="62">
        <v>1</v>
      </c>
      <c r="F9" s="67">
        <v>3</v>
      </c>
      <c r="G9" s="67" t="s">
        <v>13</v>
      </c>
      <c r="H9" s="78">
        <f>INDEX($D$7:$D$10,MATCH(G9,Сезонность!$C$7:$C$10,0),1)</f>
        <v>1</v>
      </c>
    </row>
    <row r="10" spans="2:23" x14ac:dyDescent="0.25">
      <c r="C10" s="1" t="s">
        <v>15</v>
      </c>
      <c r="D10" s="62">
        <v>1</v>
      </c>
      <c r="F10" s="67">
        <v>4</v>
      </c>
      <c r="G10" s="67" t="s">
        <v>13</v>
      </c>
      <c r="H10" s="78">
        <f>INDEX($D$7:$D$10,MATCH(G10,Сезонность!$C$7:$C$10,0),1)</f>
        <v>1</v>
      </c>
    </row>
    <row r="11" spans="2:23" x14ac:dyDescent="0.25">
      <c r="F11" s="67">
        <v>5</v>
      </c>
      <c r="G11" s="67" t="s">
        <v>13</v>
      </c>
      <c r="H11" s="78">
        <v>0.75</v>
      </c>
    </row>
    <row r="12" spans="2:23" x14ac:dyDescent="0.25">
      <c r="F12" s="67">
        <v>6</v>
      </c>
      <c r="G12" s="67" t="s">
        <v>14</v>
      </c>
      <c r="H12" s="78">
        <v>0.75</v>
      </c>
    </row>
    <row r="13" spans="2:23" x14ac:dyDescent="0.25">
      <c r="F13" s="67">
        <v>7</v>
      </c>
      <c r="G13" s="67" t="s">
        <v>14</v>
      </c>
      <c r="H13" s="78">
        <v>0.75</v>
      </c>
    </row>
    <row r="14" spans="2:23" x14ac:dyDescent="0.25">
      <c r="F14" s="67">
        <v>8</v>
      </c>
      <c r="G14" s="67" t="s">
        <v>14</v>
      </c>
      <c r="H14" s="78">
        <v>0.75</v>
      </c>
    </row>
    <row r="15" spans="2:23" x14ac:dyDescent="0.25">
      <c r="F15" s="67">
        <v>9</v>
      </c>
      <c r="G15" s="67" t="s">
        <v>15</v>
      </c>
      <c r="H15" s="78">
        <v>0.75</v>
      </c>
    </row>
    <row r="16" spans="2:23" x14ac:dyDescent="0.25">
      <c r="F16" s="67">
        <v>10</v>
      </c>
      <c r="G16" s="67" t="s">
        <v>15</v>
      </c>
      <c r="H16" s="78">
        <f>INDEX($D$7:$D$10,MATCH(G16,Сезонность!$C$7:$C$10,0),1)</f>
        <v>1</v>
      </c>
    </row>
    <row r="17" spans="6:8" x14ac:dyDescent="0.25">
      <c r="F17" s="67">
        <v>11</v>
      </c>
      <c r="G17" s="67" t="s">
        <v>15</v>
      </c>
      <c r="H17" s="78">
        <f>INDEX($D$7:$D$10,MATCH(G17,Сезонность!$C$7:$C$10,0),1)</f>
        <v>1</v>
      </c>
    </row>
    <row r="18" spans="6:8" x14ac:dyDescent="0.25">
      <c r="F18" s="67">
        <v>12</v>
      </c>
      <c r="G18" s="67" t="s">
        <v>12</v>
      </c>
      <c r="H18" s="78">
        <f>INDEX($D$7:$D$10,MATCH(G18,Сезонность!$C$7:$C$10,0),1)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22</vt:i4>
      </vt:variant>
    </vt:vector>
  </HeadingPairs>
  <TitlesOfParts>
    <vt:vector size="49" baseType="lpstr">
      <vt:lpstr>Инвест показатели</vt:lpstr>
      <vt:lpstr>Прибыль</vt:lpstr>
      <vt:lpstr>Анализ ТБУ</vt:lpstr>
      <vt:lpstr>ДДС</vt:lpstr>
      <vt:lpstr>Анализ чувствительности</vt:lpstr>
      <vt:lpstr>ДДС_Сценарий_2</vt:lpstr>
      <vt:lpstr>Услуги и цены</vt:lpstr>
      <vt:lpstr>Настройки</vt:lpstr>
      <vt:lpstr>Сезонность</vt:lpstr>
      <vt:lpstr>Пропускная способность</vt:lpstr>
      <vt:lpstr>Персонал</vt:lpstr>
      <vt:lpstr>Заёмные средства</vt:lpstr>
      <vt:lpstr>Постоянные затраты</vt:lpstr>
      <vt:lpstr>Инвестиции</vt:lpstr>
      <vt:lpstr>График проекта</vt:lpstr>
      <vt:lpstr>Расчёт.ПрибылиВсё</vt:lpstr>
      <vt:lpstr>Расчёт.ПрибылиПоПодразделениям</vt:lpstr>
      <vt:lpstr>РасшифровкаЗатрат</vt:lpstr>
      <vt:lpstr>План продаж</vt:lpstr>
      <vt:lpstr>План продаж.Кол-во</vt:lpstr>
      <vt:lpstr>Расчёт.Окупаемости</vt:lpstr>
      <vt:lpstr>Расчёт.Окупаемости_АнализЧув</vt:lpstr>
      <vt:lpstr>Расчёт.Постоянные расходы</vt:lpstr>
      <vt:lpstr>Скидки и клиентская база</vt:lpstr>
      <vt:lpstr>Вх.Данные.Доход</vt:lpstr>
      <vt:lpstr>Вх.Данные.Ассортимент</vt:lpstr>
      <vt:lpstr>РазбивкаДохода</vt:lpstr>
      <vt:lpstr>ДатаНачала</vt:lpstr>
      <vt:lpstr>'Анализ чувствительности'!КлМастер</vt:lpstr>
      <vt:lpstr>'План продаж.Кол-во'!КлМастер</vt:lpstr>
      <vt:lpstr>Расчёт.Окупаемости_АнализЧув!КлМастер</vt:lpstr>
      <vt:lpstr>Расчёт.ПрибылиВсё!КлМастер</vt:lpstr>
      <vt:lpstr>РасшифровкаЗатрат!КлМастер</vt:lpstr>
      <vt:lpstr>КлМастер</vt:lpstr>
      <vt:lpstr>Коэф.Маржа</vt:lpstr>
      <vt:lpstr>Коэф_Сценария</vt:lpstr>
      <vt:lpstr>Кэф_Сезонности</vt:lpstr>
      <vt:lpstr>Маржа</vt:lpstr>
      <vt:lpstr>Нстр.Скидка</vt:lpstr>
      <vt:lpstr>Нстр_Сценарий</vt:lpstr>
      <vt:lpstr>прцПремия</vt:lpstr>
      <vt:lpstr>Сезонность</vt:lpstr>
      <vt:lpstr>События</vt:lpstr>
      <vt:lpstr>Ср.Чек</vt:lpstr>
      <vt:lpstr>СтавкаДисконт</vt:lpstr>
      <vt:lpstr>Сценарии</vt:lpstr>
      <vt:lpstr>ЧислоВизитов</vt:lpstr>
      <vt:lpstr>чувВП</vt:lpstr>
      <vt:lpstr>чувОпр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2018-01-19T18:30:04Z</dcterms:modified>
</cp:coreProperties>
</file>